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rmitoutlook.sharepoint.com/sites/KUM_shveits/Shared Documents/"/>
    </mc:Choice>
  </mc:AlternateContent>
  <xr:revisionPtr revIDLastSave="368" documentId="8_{07B705A4-5E18-42F1-AB99-B93C272949B3}" xr6:coauthVersionLast="47" xr6:coauthVersionMax="47" xr10:uidLastSave="{027515A0-9F48-4834-B21A-095669E8FC70}"/>
  <bookViews>
    <workbookView xWindow="-108" yWindow="-108" windowWidth="30936" windowHeight="16896" xr2:uid="{0005EB2C-0D62-4D9C-B961-5221AC4DFFCC}"/>
  </bookViews>
  <sheets>
    <sheet name="Final Budget" sheetId="3" r:id="rId1"/>
  </sheets>
  <definedNames>
    <definedName name="_xlnm.Print_Area" localSheetId="0">'Final Budget'!$A$1:$M$53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3" l="1"/>
  <c r="I43" i="3" l="1"/>
  <c r="C17" i="3"/>
  <c r="E38" i="3"/>
  <c r="L19" i="3" l="1"/>
  <c r="K19" i="3"/>
  <c r="J23" i="3"/>
  <c r="I23" i="3"/>
  <c r="E43" i="3"/>
  <c r="E42" i="3"/>
  <c r="E36" i="3"/>
  <c r="G36" i="3" s="1"/>
  <c r="E31" i="3"/>
  <c r="E23" i="3"/>
  <c r="M23" i="3" s="1"/>
  <c r="E9" i="3"/>
  <c r="E8" i="3"/>
  <c r="E7" i="3"/>
  <c r="M27" i="3"/>
  <c r="L27" i="3"/>
  <c r="K27" i="3"/>
  <c r="J27" i="3"/>
  <c r="I27" i="3"/>
  <c r="M29" i="3"/>
  <c r="L29" i="3"/>
  <c r="K29" i="3"/>
  <c r="J29" i="3"/>
  <c r="I29" i="3"/>
  <c r="M28" i="3"/>
  <c r="L28" i="3"/>
  <c r="K28" i="3"/>
  <c r="J28" i="3"/>
  <c r="I28" i="3"/>
  <c r="M26" i="3"/>
  <c r="L26" i="3"/>
  <c r="K26" i="3"/>
  <c r="J26" i="3"/>
  <c r="I26" i="3"/>
  <c r="M25" i="3"/>
  <c r="L25" i="3"/>
  <c r="K25" i="3"/>
  <c r="J25" i="3"/>
  <c r="I25" i="3"/>
  <c r="M21" i="3"/>
  <c r="L21" i="3"/>
  <c r="K21" i="3"/>
  <c r="J21" i="3"/>
  <c r="I21" i="3"/>
  <c r="E40" i="3"/>
  <c r="J40" i="3" s="1"/>
  <c r="E39" i="3"/>
  <c r="G39" i="3" s="1"/>
  <c r="F38" i="3"/>
  <c r="H38" i="3" s="1"/>
  <c r="G38" i="3"/>
  <c r="I38" i="3"/>
  <c r="J38" i="3"/>
  <c r="F40" i="3"/>
  <c r="H40" i="3" s="1"/>
  <c r="G40" i="3"/>
  <c r="I40" i="3"/>
  <c r="K23" i="3" l="1"/>
  <c r="J39" i="3"/>
  <c r="L23" i="3"/>
  <c r="J36" i="3"/>
  <c r="I36" i="3"/>
  <c r="F36" i="3"/>
  <c r="H36" i="3" s="1"/>
  <c r="E37" i="3"/>
  <c r="F37" i="3" s="1"/>
  <c r="H37" i="3" s="1"/>
  <c r="I39" i="3"/>
  <c r="F39" i="3"/>
  <c r="H39" i="3" s="1"/>
  <c r="E35" i="3"/>
  <c r="J37" i="3" l="1"/>
  <c r="G37" i="3"/>
  <c r="J35" i="3"/>
  <c r="I37" i="3"/>
  <c r="I35" i="3" s="1"/>
  <c r="F35" i="3"/>
  <c r="H35" i="3" s="1"/>
  <c r="G35" i="3"/>
  <c r="M39" i="3" l="1"/>
  <c r="L39" i="3"/>
  <c r="K39" i="3"/>
  <c r="E11" i="3" l="1"/>
  <c r="E12" i="3"/>
  <c r="E13" i="3"/>
  <c r="E17" i="3"/>
  <c r="E14" i="3"/>
  <c r="I17" i="3" l="1"/>
  <c r="M17" i="3"/>
  <c r="L37" i="3"/>
  <c r="K38" i="3"/>
  <c r="L38" i="3"/>
  <c r="M38" i="3"/>
  <c r="K40" i="3"/>
  <c r="L40" i="3"/>
  <c r="M40" i="3"/>
  <c r="M12" i="3"/>
  <c r="L12" i="3"/>
  <c r="K12" i="3"/>
  <c r="J12" i="3"/>
  <c r="I12" i="3"/>
  <c r="M44" i="3"/>
  <c r="L44" i="3"/>
  <c r="K44" i="3"/>
  <c r="J44" i="3"/>
  <c r="I44" i="3"/>
  <c r="M42" i="3"/>
  <c r="L42" i="3"/>
  <c r="K42" i="3"/>
  <c r="J42" i="3"/>
  <c r="I42" i="3"/>
  <c r="L36" i="3" l="1"/>
  <c r="L35" i="3" s="1"/>
  <c r="K37" i="3"/>
  <c r="M36" i="3"/>
  <c r="K36" i="3"/>
  <c r="M37" i="3"/>
  <c r="E34" i="3"/>
  <c r="K34" i="3" s="1"/>
  <c r="F27" i="3"/>
  <c r="H27" i="3" s="1"/>
  <c r="M20" i="3"/>
  <c r="M18" i="3"/>
  <c r="I18" i="3"/>
  <c r="F44" i="3"/>
  <c r="H44" i="3" s="1"/>
  <c r="G44" i="3"/>
  <c r="G42" i="3"/>
  <c r="F42" i="3"/>
  <c r="H42" i="3" s="1"/>
  <c r="I33" i="3"/>
  <c r="J33" i="3"/>
  <c r="K33" i="3"/>
  <c r="L33" i="3"/>
  <c r="M33" i="3"/>
  <c r="K32" i="3"/>
  <c r="M32" i="3"/>
  <c r="J32" i="3"/>
  <c r="I32" i="3"/>
  <c r="F32" i="3"/>
  <c r="H32" i="3" s="1"/>
  <c r="F33" i="3"/>
  <c r="H33" i="3" s="1"/>
  <c r="G33" i="3"/>
  <c r="K35" i="3" l="1"/>
  <c r="J34" i="3"/>
  <c r="G34" i="3"/>
  <c r="F34" i="3"/>
  <c r="H34" i="3" s="1"/>
  <c r="M31" i="3"/>
  <c r="M35" i="3"/>
  <c r="M34" i="3"/>
  <c r="L34" i="3"/>
  <c r="I31" i="3"/>
  <c r="E22" i="3"/>
  <c r="I8" i="3"/>
  <c r="K8" i="3"/>
  <c r="M8" i="3"/>
  <c r="J8" i="3"/>
  <c r="L8" i="3"/>
  <c r="M9" i="3"/>
  <c r="L9" i="3"/>
  <c r="I9" i="3"/>
  <c r="K9" i="3"/>
  <c r="J9" i="3"/>
  <c r="M7" i="3"/>
  <c r="L7" i="3"/>
  <c r="K7" i="3"/>
  <c r="J7" i="3"/>
  <c r="I7" i="3"/>
  <c r="F7" i="3"/>
  <c r="H7" i="3" s="1"/>
  <c r="I34" i="3"/>
  <c r="E30" i="3"/>
  <c r="E6" i="3"/>
  <c r="F6" i="3" l="1"/>
  <c r="H6" i="3" s="1"/>
  <c r="M30" i="3"/>
  <c r="J6" i="3"/>
  <c r="I30" i="3"/>
  <c r="I6" i="3"/>
  <c r="K6" i="3"/>
  <c r="L6" i="3"/>
  <c r="M6" i="3"/>
  <c r="M22" i="3"/>
  <c r="I22" i="3"/>
  <c r="M24" i="3"/>
  <c r="I24" i="3"/>
  <c r="F24" i="3"/>
  <c r="H24" i="3" s="1"/>
  <c r="J24" i="3"/>
  <c r="L24" i="3"/>
  <c r="K24" i="3"/>
  <c r="G24" i="3"/>
  <c r="F30" i="3"/>
  <c r="H30" i="3" s="1"/>
  <c r="M15" i="3" l="1"/>
  <c r="L15" i="3"/>
  <c r="K15" i="3"/>
  <c r="J15" i="3"/>
  <c r="I15" i="3"/>
  <c r="J13" i="3"/>
  <c r="I13" i="3"/>
  <c r="M13" i="3"/>
  <c r="L13" i="3"/>
  <c r="K13" i="3"/>
  <c r="F13" i="3"/>
  <c r="H13" i="3" s="1"/>
  <c r="G13" i="3"/>
  <c r="N28" i="3" l="1"/>
  <c r="N27" i="3"/>
  <c r="N26" i="3"/>
  <c r="N25" i="3"/>
  <c r="L32" i="3"/>
  <c r="G32" i="3"/>
  <c r="G28" i="3"/>
  <c r="F28" i="3"/>
  <c r="H28" i="3" s="1"/>
  <c r="G27" i="3"/>
  <c r="G26" i="3"/>
  <c r="F26" i="3"/>
  <c r="H26" i="3" s="1"/>
  <c r="G25" i="3"/>
  <c r="F25" i="3"/>
  <c r="H25" i="3" s="1"/>
  <c r="L22" i="3"/>
  <c r="K22" i="3"/>
  <c r="J22" i="3"/>
  <c r="G22" i="3"/>
  <c r="F22" i="3"/>
  <c r="H22" i="3" s="1"/>
  <c r="E20" i="3"/>
  <c r="G12" i="3"/>
  <c r="F12" i="3"/>
  <c r="H12" i="3" s="1"/>
  <c r="G19" i="3"/>
  <c r="F19" i="3"/>
  <c r="H19" i="3" s="1"/>
  <c r="E18" i="3"/>
  <c r="M11" i="3" l="1"/>
  <c r="L11" i="3"/>
  <c r="K11" i="3"/>
  <c r="J11" i="3"/>
  <c r="I11" i="3"/>
  <c r="L14" i="3"/>
  <c r="M14" i="3"/>
  <c r="J14" i="3"/>
  <c r="I14" i="3"/>
  <c r="E10" i="3"/>
  <c r="K14" i="3"/>
  <c r="L17" i="3"/>
  <c r="K17" i="3"/>
  <c r="J17" i="3"/>
  <c r="L31" i="3"/>
  <c r="L30" i="3" s="1"/>
  <c r="E16" i="3"/>
  <c r="F31" i="3"/>
  <c r="H31" i="3" s="1"/>
  <c r="F23" i="3"/>
  <c r="H23" i="3" s="1"/>
  <c r="J31" i="3"/>
  <c r="G23" i="3"/>
  <c r="K31" i="3"/>
  <c r="K30" i="3" s="1"/>
  <c r="G31" i="3"/>
  <c r="F11" i="3"/>
  <c r="H11" i="3" s="1"/>
  <c r="F9" i="3"/>
  <c r="H9" i="3" s="1"/>
  <c r="G17" i="3"/>
  <c r="F14" i="3"/>
  <c r="H14" i="3" s="1"/>
  <c r="F18" i="3"/>
  <c r="H18" i="3" s="1"/>
  <c r="G14" i="3"/>
  <c r="G18" i="3"/>
  <c r="F17" i="3"/>
  <c r="H17" i="3" s="1"/>
  <c r="F8" i="3"/>
  <c r="H8" i="3" s="1"/>
  <c r="G9" i="3"/>
  <c r="G11" i="3"/>
  <c r="G7" i="3"/>
  <c r="G8" i="3"/>
  <c r="E5" i="3" l="1"/>
  <c r="J30" i="3"/>
  <c r="M10" i="3"/>
  <c r="I10" i="3"/>
  <c r="M16" i="3"/>
  <c r="I16" i="3"/>
  <c r="K16" i="3"/>
  <c r="J16" i="3"/>
  <c r="L16" i="3"/>
  <c r="F10" i="3"/>
  <c r="H10" i="3" s="1"/>
  <c r="J10" i="3"/>
  <c r="K10" i="3"/>
  <c r="L10" i="3"/>
  <c r="G6" i="3"/>
  <c r="G29" i="3"/>
  <c r="N22" i="3"/>
  <c r="G15" i="3"/>
  <c r="F15" i="3"/>
  <c r="H15" i="3" s="1"/>
  <c r="G10" i="3"/>
  <c r="F29" i="3"/>
  <c r="H29" i="3" s="1"/>
  <c r="G30" i="3"/>
  <c r="F16" i="3"/>
  <c r="H16" i="3" s="1"/>
  <c r="G16" i="3"/>
  <c r="M5" i="3" l="1"/>
  <c r="G5" i="3"/>
  <c r="F5" i="3"/>
  <c r="H5" i="3" s="1"/>
  <c r="N6" i="3"/>
  <c r="N29" i="3"/>
  <c r="K20" i="3"/>
  <c r="K5" i="3" s="1"/>
  <c r="L20" i="3"/>
  <c r="L5" i="3" s="1"/>
  <c r="J20" i="3"/>
  <c r="J5" i="3" s="1"/>
  <c r="G21" i="3"/>
  <c r="G20" i="3" s="1"/>
  <c r="F21" i="3"/>
  <c r="H21" i="3" s="1"/>
  <c r="I20" i="3"/>
  <c r="I5" i="3" s="1"/>
  <c r="F20" i="3" l="1"/>
  <c r="H20" i="3" s="1"/>
  <c r="I41" i="3"/>
  <c r="J43" i="3"/>
  <c r="J41" i="3" s="1"/>
  <c r="J45" i="3" s="1"/>
  <c r="M43" i="3"/>
  <c r="M41" i="3" s="1"/>
  <c r="M45" i="3" s="1"/>
  <c r="K43" i="3"/>
  <c r="K41" i="3"/>
  <c r="K45" i="3" s="1"/>
  <c r="F43" i="3"/>
  <c r="H43" i="3" s="1"/>
  <c r="L43" i="3"/>
  <c r="L41" i="3" s="1"/>
  <c r="L45" i="3" s="1"/>
  <c r="G43" i="3"/>
  <c r="E41" i="3"/>
  <c r="I45" i="3" l="1"/>
  <c r="F41" i="3"/>
  <c r="H41" i="3" s="1"/>
  <c r="E45" i="3"/>
  <c r="G45" i="3" s="1"/>
  <c r="G41" i="3"/>
  <c r="F45" i="3" l="1"/>
  <c r="H45" i="3" l="1"/>
</calcChain>
</file>

<file path=xl/sharedStrings.xml><?xml version="1.0" encoding="utf-8"?>
<sst xmlns="http://schemas.openxmlformats.org/spreadsheetml/2006/main" count="150" uniqueCount="112">
  <si>
    <t>EUR</t>
  </si>
  <si>
    <t>CHF</t>
  </si>
  <si>
    <t>No</t>
  </si>
  <si>
    <t>Budget items</t>
  </si>
  <si>
    <t>Unit costs</t>
  </si>
  <si>
    <t>Quantity</t>
  </si>
  <si>
    <t>Total Budget</t>
  </si>
  <si>
    <t>Swiss contribution (85%)</t>
  </si>
  <si>
    <t>National contribution (15%)</t>
  </si>
  <si>
    <t>Swiss contribution</t>
  </si>
  <si>
    <t>Year 1</t>
  </si>
  <si>
    <t>Year 2</t>
  </si>
  <si>
    <t>Year 3</t>
  </si>
  <si>
    <t>Year 4</t>
  </si>
  <si>
    <t>Year 5</t>
  </si>
  <si>
    <t>Exchange rate CHF/EUR</t>
  </si>
  <si>
    <t>Management Costs</t>
  </si>
  <si>
    <t>1.1</t>
  </si>
  <si>
    <t>Personnel</t>
  </si>
  <si>
    <t>1.1.1</t>
  </si>
  <si>
    <t>Programme Coordinator Lead (MoC)</t>
  </si>
  <si>
    <t>1 FTE for 51 months</t>
  </si>
  <si>
    <t>1.1.2</t>
  </si>
  <si>
    <t xml:space="preserve">Programme financial and technical coordinator  (MoC) </t>
  </si>
  <si>
    <t>0,9 FTE for 51 months</t>
  </si>
  <si>
    <t>1.1.3</t>
  </si>
  <si>
    <t>Expenses of State Shared Service Centre for verification of incurred expenditure (up to 1,2 FTE for 52 months, labor and travel expenditure, estimation for various employees)</t>
  </si>
  <si>
    <t>52 months</t>
  </si>
  <si>
    <t>1.2</t>
  </si>
  <si>
    <t>Meetings, seminars and visits</t>
  </si>
  <si>
    <t>1.2.1</t>
  </si>
  <si>
    <t>Seminars, working meetings, assignments (site visits)</t>
  </si>
  <si>
    <t>51 months</t>
  </si>
  <si>
    <t>1.2.2</t>
  </si>
  <si>
    <t>Meetings of the Support Measure Steering Committee and working group</t>
  </si>
  <si>
    <t>1.2.3</t>
  </si>
  <si>
    <t>Travel costs</t>
  </si>
  <si>
    <t>1.2.4</t>
  </si>
  <si>
    <t xml:space="preserve">Transportation costs </t>
  </si>
  <si>
    <t>1.3</t>
  </si>
  <si>
    <t>Swiss experts and partners</t>
  </si>
  <si>
    <t>1.4</t>
  </si>
  <si>
    <t>Information and communication</t>
  </si>
  <si>
    <t>1.4.1</t>
  </si>
  <si>
    <t>Communication and visibility costs (incl personnel costs)</t>
  </si>
  <si>
    <t>1.4.2</t>
  </si>
  <si>
    <t xml:space="preserve">Launching and a closing event </t>
  </si>
  <si>
    <t>2 events</t>
  </si>
  <si>
    <t>1.4.3</t>
  </si>
  <si>
    <t>Evaluations</t>
  </si>
  <si>
    <t>1.5</t>
  </si>
  <si>
    <t>Reserve costs</t>
  </si>
  <si>
    <t>1.5.1</t>
  </si>
  <si>
    <t xml:space="preserve">Programme Component 1 “Cultural and linguistic integration” </t>
  </si>
  <si>
    <t>2.1</t>
  </si>
  <si>
    <t>Programme Component coordinator MoC</t>
  </si>
  <si>
    <t>2.2</t>
  </si>
  <si>
    <t>Overheads*</t>
  </si>
  <si>
    <t>7 % of the Component Costs</t>
  </si>
  <si>
    <t>2.3</t>
  </si>
  <si>
    <t>Activity 1: Preparation of digital transformation in the field of integration (incl personnel costs)</t>
  </si>
  <si>
    <t>activity</t>
  </si>
  <si>
    <t>2.4</t>
  </si>
  <si>
    <t>Activity 2: Inclusion of volunteers in the integration activitiesvv(incl personnel costs)</t>
  </si>
  <si>
    <t>2.5</t>
  </si>
  <si>
    <t>Activity 3: Provision of counselling services including in language learning (incl personnel costs)</t>
  </si>
  <si>
    <t>2.6</t>
  </si>
  <si>
    <t>Activity 4:  Activities introducing the Estonian cultural space (incl personnel costs)</t>
  </si>
  <si>
    <t>2.7</t>
  </si>
  <si>
    <t>Activity 5: Provision of media literacy training (incl personnel costs)</t>
  </si>
  <si>
    <t>cooperation agreement with partner</t>
  </si>
  <si>
    <t>Programme Component 2 "Strengthening the social-and child protection services"</t>
  </si>
  <si>
    <t>3.1</t>
  </si>
  <si>
    <t xml:space="preserve">Programme Component coordinator in MoSA </t>
  </si>
  <si>
    <t>0,5 FTE for 51 months</t>
  </si>
  <si>
    <t>3.2</t>
  </si>
  <si>
    <t>Activity 1:curricula and professional qualification modification (incl personnel costs)</t>
  </si>
  <si>
    <t>3.3</t>
  </si>
  <si>
    <t>Activity 2: training and counselling system (incl personnel costs)</t>
  </si>
  <si>
    <t>3.4</t>
  </si>
  <si>
    <t xml:space="preserve">Overheads* </t>
  </si>
  <si>
    <t>Programme Component 3 “Increasing multicultural competence in the education sector ”</t>
  </si>
  <si>
    <t>vähendatud 102 600 euro võrra HTMi osa, mis liigub üldise managementi alla (30.11.2023)</t>
  </si>
  <si>
    <t>4.1</t>
  </si>
  <si>
    <t>Programme Component coordinator in MoER</t>
  </si>
  <si>
    <t>0,5 FTE for 48 months</t>
  </si>
  <si>
    <t>4.2</t>
  </si>
  <si>
    <t>7% of the Activity 2, PC Coordinator Costs and Activity 1 Coordinator cost (0,7 FTE)</t>
  </si>
  <si>
    <t>4.3</t>
  </si>
  <si>
    <t>Activity 1. In-service training for professionals in the education sector (incl personnel costs)</t>
  </si>
  <si>
    <t>4.3.1</t>
  </si>
  <si>
    <t>Activity 1 coordinator in the Education and Youth Board**</t>
  </si>
  <si>
    <t>0,7 FTE for 51 months</t>
  </si>
  <si>
    <t>4.4</t>
  </si>
  <si>
    <t>Activity 2. Informing, counselling and supporting parents with a different linguistic and cultural backgrounds (incl personnel costs)</t>
  </si>
  <si>
    <t>Vähendatud 3 eurot, et tuleks kokku õige kogu komponendi eelarve (03.01.2024)</t>
  </si>
  <si>
    <t>Programme Component 4 “Strengthening civil society through social innovation.”</t>
  </si>
  <si>
    <t>Ümardamisega tuleb aastate lõikes väike erinevus?</t>
  </si>
  <si>
    <t>5.1</t>
  </si>
  <si>
    <t>Programme Component Coordinator in MoI</t>
  </si>
  <si>
    <t>0,2 FTE per month for 46 months</t>
  </si>
  <si>
    <t>5.2</t>
  </si>
  <si>
    <t>5.3</t>
  </si>
  <si>
    <t>Building civil society competence, raising public awareness and disseminating information on social innovation (incl personnel costs)</t>
  </si>
  <si>
    <t>TOTAL</t>
  </si>
  <si>
    <t>DURATION OF THE PROJECT</t>
  </si>
  <si>
    <t>month</t>
  </si>
  <si>
    <t>Number of Calender Years in Programme</t>
  </si>
  <si>
    <t>year</t>
  </si>
  <si>
    <t>CHF/EUR</t>
  </si>
  <si>
    <t>* To alleviate the administrative burden and reduce the workload of programme component operators, implementers, partners and controllers who verify expenditures in the NCU, reimbursement of overheads at a flat rate of 7% of the direct programme component’s costs is planned to be implemented in each of the four components of the SSIP. From the previous EU and bilateral projects’ implementation experience the rate of the overheads was higher than 7 % of the direct component’s costs. The use of overheads at a flat rate of 7% enables people involved in the implementation of the programme component focus on achievement of the ob-jectives of the support measure as less resources are needed for collecting and verifying fi-nancial documents.
Programme component overheads include administrative expenses, such are: 
•	costs for purchasing, renting, maintaining and repairing office supplies and furniture;
•	communication costs, including internet, telephone and postal costs;
•	information technology costs, including the costs of buying and renting software and hardware, office equipment, and maintenance and repair of servers, networks and of-fice equipment;
•	heating, water and electricity costs and the costs of cleaning the premises;
•	rental costs of premises;
•	security service costs;
•	land tax;
•	costs of opening and managing a bank account and payment transfer fee.
Additionally, programme component overheads include expenses related to supportive activities, such as:
•	accounting;
•	secretarial and personnel work;
•	legal advice;
•	organizing public procurement and conducting the purchase procedure;
•	property management;
•	information technology support services.</t>
  </si>
  <si>
    <t>** The labor cost of the coordinator for Activity 1 is itemized separately from the other costs associated with Activity 1 and is listed under line 4.3.1. This distinction is made because, within the budget for Activity 1, only the coordinator’s labor cost is factored into the overhead calculations. Meanwhile, the expenses listed under line 4.3, “Activity 1. In-service training for professionals in the education sector (incl personnel costs),” are not included in the calculation of the overheads for the component. This is due to the fact that this budget line incorporates a unified hourly rate, which encompasses all expenses directly linked to the provision of in-service train-ings.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</si>
</sst>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HF-810]\ #,##0.00"/>
    <numFmt numFmtId="165" formatCode="#,##0.00\ &quot;€&quot;"/>
    <numFmt numFmtId="166" formatCode="#,##0.000000"/>
  </numFmts>
  <fonts count="18" x14ac:knownFonts="1">
    <font>
      <sz val="11"/>
      <color theme="1"/>
      <name val="Calibri"/>
      <family val="2"/>
      <charset val="186"/>
      <scheme val="minor"/>
    </font>
    <font>
      <b/>
      <sz val="11"/>
      <color theme="1"/>
      <name val="Calibri"/>
      <family val="2"/>
      <charset val="186"/>
      <scheme val="minor"/>
    </font>
    <font>
      <sz val="10"/>
      <color theme="1"/>
      <name val="Arial Narrow"/>
      <family val="2"/>
    </font>
    <font>
      <b/>
      <sz val="10"/>
      <name val="Arial Narrow"/>
      <family val="2"/>
      <charset val="186"/>
    </font>
    <font>
      <b/>
      <sz val="10"/>
      <name val="Arial Narrow"/>
      <family val="2"/>
    </font>
    <font>
      <sz val="10"/>
      <name val="Arial Narrow"/>
      <family val="2"/>
    </font>
    <font>
      <sz val="10"/>
      <color theme="9"/>
      <name val="Arial Narrow"/>
      <family val="2"/>
    </font>
    <font>
      <b/>
      <sz val="10"/>
      <color theme="1"/>
      <name val="Arial Narrow"/>
      <family val="2"/>
      <charset val="186"/>
    </font>
    <font>
      <sz val="10"/>
      <name val="Arial Narrow"/>
      <family val="2"/>
      <charset val="186"/>
    </font>
    <font>
      <sz val="10"/>
      <color theme="1"/>
      <name val="Arial Narrow"/>
      <family val="2"/>
      <charset val="186"/>
    </font>
    <font>
      <sz val="10"/>
      <color rgb="FF70AD47"/>
      <name val="Arial Narrow"/>
      <family val="2"/>
    </font>
    <font>
      <sz val="10"/>
      <color rgb="FF000000"/>
      <name val="Arial Narrow"/>
      <family val="2"/>
    </font>
    <font>
      <sz val="10"/>
      <color theme="9" tint="-0.249977111117893"/>
      <name val="Arial Narrow"/>
      <family val="2"/>
    </font>
    <font>
      <i/>
      <sz val="11"/>
      <color theme="5"/>
      <name val="Calibri"/>
      <family val="2"/>
      <charset val="186"/>
      <scheme val="minor"/>
    </font>
    <font>
      <i/>
      <sz val="11"/>
      <color theme="5" tint="0.39997558519241921"/>
      <name val="Calibri"/>
      <family val="2"/>
      <charset val="186"/>
      <scheme val="minor"/>
    </font>
    <font>
      <sz val="10"/>
      <color rgb="FF000000"/>
      <name val="Arial Narrow"/>
      <family val="2"/>
      <charset val="186"/>
    </font>
    <font>
      <sz val="10"/>
      <color rgb="FF333333"/>
      <name val="Arial Narrow"/>
      <family val="2"/>
      <charset val="186"/>
    </font>
    <font>
      <sz val="10"/>
      <name val="Arial Narrow"/>
    </font>
  </fonts>
  <fills count="7">
    <fill>
      <patternFill patternType="none"/>
    </fill>
    <fill>
      <patternFill patternType="gray125"/>
    </fill>
    <fill>
      <patternFill patternType="solid">
        <fgColor theme="4" tint="0.79998168889431442"/>
        <bgColor indexed="64"/>
      </patternFill>
    </fill>
    <fill>
      <patternFill patternType="solid">
        <fgColor rgb="FFFCFECE"/>
        <bgColor indexed="64"/>
      </patternFill>
    </fill>
    <fill>
      <patternFill patternType="solid">
        <fgColor rgb="FFEBE8EC"/>
        <bgColor indexed="64"/>
      </patternFill>
    </fill>
    <fill>
      <patternFill patternType="solid">
        <fgColor theme="3"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cellStyleXfs>
  <cellXfs count="84">
    <xf numFmtId="0" fontId="0" fillId="0" borderId="0" xfId="0"/>
    <xf numFmtId="4" fontId="5" fillId="2" borderId="1" xfId="0" applyNumberFormat="1" applyFont="1" applyFill="1" applyBorder="1" applyAlignment="1" applyProtection="1">
      <alignment vertical="top" wrapText="1"/>
      <protection locked="0"/>
    </xf>
    <xf numFmtId="4" fontId="5" fillId="0" borderId="1" xfId="0" applyNumberFormat="1" applyFont="1" applyBorder="1" applyAlignment="1" applyProtection="1">
      <alignment vertical="top" wrapText="1"/>
      <protection locked="0"/>
    </xf>
    <xf numFmtId="4" fontId="4" fillId="2" borderId="1" xfId="0" applyNumberFormat="1" applyFont="1" applyFill="1" applyBorder="1" applyAlignment="1" applyProtection="1">
      <alignment vertical="top" wrapText="1"/>
      <protection locked="0"/>
    </xf>
    <xf numFmtId="4" fontId="3" fillId="3" borderId="1" xfId="0" applyNumberFormat="1" applyFont="1" applyFill="1" applyBorder="1" applyAlignment="1">
      <alignment horizontal="center" vertical="top" wrapText="1"/>
    </xf>
    <xf numFmtId="4" fontId="3" fillId="4" borderId="1" xfId="0" applyNumberFormat="1" applyFont="1" applyFill="1" applyBorder="1" applyAlignment="1">
      <alignment horizontal="center" vertical="top" wrapText="1"/>
    </xf>
    <xf numFmtId="4" fontId="8" fillId="0" borderId="1" xfId="0" applyNumberFormat="1" applyFont="1" applyBorder="1" applyAlignment="1" applyProtection="1">
      <alignment vertical="top" wrapText="1"/>
      <protection locked="0"/>
    </xf>
    <xf numFmtId="0" fontId="5" fillId="0" borderId="1" xfId="0" applyFont="1" applyBorder="1" applyAlignment="1">
      <alignment wrapText="1"/>
    </xf>
    <xf numFmtId="4" fontId="5" fillId="6" borderId="1" xfId="0" applyNumberFormat="1" applyFont="1" applyFill="1" applyBorder="1" applyAlignment="1" applyProtection="1">
      <alignment vertical="top" wrapText="1"/>
      <protection locked="0"/>
    </xf>
    <xf numFmtId="4" fontId="4" fillId="2" borderId="1" xfId="0" applyNumberFormat="1" applyFont="1" applyFill="1" applyBorder="1"/>
    <xf numFmtId="4" fontId="0" fillId="0" borderId="0" xfId="0" applyNumberFormat="1"/>
    <xf numFmtId="4" fontId="1" fillId="0" borderId="0" xfId="0" applyNumberFormat="1" applyFont="1"/>
    <xf numFmtId="4" fontId="11" fillId="0" borderId="1" xfId="0" applyNumberFormat="1" applyFont="1" applyBorder="1" applyAlignment="1" applyProtection="1">
      <alignment vertical="top" wrapText="1"/>
      <protection locked="0"/>
    </xf>
    <xf numFmtId="4" fontId="3" fillId="4" borderId="2" xfId="0" applyNumberFormat="1" applyFont="1" applyFill="1" applyBorder="1" applyAlignment="1">
      <alignment horizontal="center" vertical="top" wrapText="1"/>
    </xf>
    <xf numFmtId="4" fontId="3" fillId="4" borderId="6" xfId="0" applyNumberFormat="1" applyFont="1" applyFill="1" applyBorder="1" applyAlignment="1">
      <alignment horizontal="center" vertical="top" wrapText="1"/>
    </xf>
    <xf numFmtId="4" fontId="13" fillId="0" borderId="0" xfId="0" applyNumberFormat="1" applyFont="1"/>
    <xf numFmtId="0" fontId="13" fillId="0" borderId="0" xfId="0" applyFont="1"/>
    <xf numFmtId="4" fontId="14" fillId="0" borderId="0" xfId="0" applyNumberFormat="1" applyFont="1"/>
    <xf numFmtId="4" fontId="0" fillId="0" borderId="0" xfId="0" applyNumberFormat="1" applyAlignment="1">
      <alignment wrapText="1"/>
    </xf>
    <xf numFmtId="4" fontId="3" fillId="0" borderId="0" xfId="0" applyNumberFormat="1" applyFont="1" applyAlignment="1">
      <alignment vertical="top"/>
    </xf>
    <xf numFmtId="4" fontId="3" fillId="4" borderId="7" xfId="0" applyNumberFormat="1" applyFont="1" applyFill="1" applyBorder="1" applyAlignment="1">
      <alignment horizontal="center" vertical="top" wrapText="1"/>
    </xf>
    <xf numFmtId="4" fontId="13" fillId="5" borderId="0" xfId="0" applyNumberFormat="1" applyFont="1" applyFill="1" applyAlignment="1">
      <alignment wrapText="1"/>
    </xf>
    <xf numFmtId="164" fontId="0" fillId="0" borderId="0" xfId="0" applyNumberFormat="1"/>
    <xf numFmtId="2" fontId="3" fillId="3" borderId="2" xfId="0" applyNumberFormat="1" applyFont="1" applyFill="1" applyBorder="1" applyAlignment="1">
      <alignment horizontal="left" vertical="center" wrapText="1"/>
    </xf>
    <xf numFmtId="165" fontId="0" fillId="0" borderId="0" xfId="0" applyNumberFormat="1"/>
    <xf numFmtId="0" fontId="15" fillId="0" borderId="5" xfId="0" applyFont="1" applyBorder="1" applyAlignment="1">
      <alignment wrapText="1"/>
    </xf>
    <xf numFmtId="0" fontId="16" fillId="0" borderId="0" xfId="0" applyFont="1" applyAlignment="1">
      <alignment wrapText="1"/>
    </xf>
    <xf numFmtId="0" fontId="0" fillId="0" borderId="9" xfId="0" applyBorder="1"/>
    <xf numFmtId="166" fontId="1" fillId="0" borderId="0" xfId="0" applyNumberFormat="1" applyFont="1" applyAlignment="1">
      <alignment horizontal="left"/>
    </xf>
    <xf numFmtId="4" fontId="3" fillId="6" borderId="0" xfId="0" applyNumberFormat="1" applyFont="1" applyFill="1" applyAlignment="1" applyProtection="1">
      <alignment wrapText="1"/>
      <protection locked="0"/>
    </xf>
    <xf numFmtId="4" fontId="3" fillId="2" borderId="1" xfId="0" applyNumberFormat="1" applyFont="1" applyFill="1" applyBorder="1" applyAlignment="1" applyProtection="1">
      <alignment vertical="center" wrapText="1"/>
      <protection locked="0"/>
    </xf>
    <xf numFmtId="4" fontId="5" fillId="2" borderId="1" xfId="0" applyNumberFormat="1" applyFont="1" applyFill="1" applyBorder="1" applyAlignment="1" applyProtection="1">
      <alignment vertical="center" wrapText="1"/>
      <protection locked="0"/>
    </xf>
    <xf numFmtId="4" fontId="8" fillId="2" borderId="1" xfId="0" applyNumberFormat="1" applyFont="1" applyFill="1" applyBorder="1" applyAlignment="1" applyProtection="1">
      <alignment vertical="center" wrapText="1"/>
      <protection locked="0"/>
    </xf>
    <xf numFmtId="4" fontId="3" fillId="0" borderId="1" xfId="0" applyNumberFormat="1" applyFont="1" applyBorder="1" applyAlignment="1" applyProtection="1">
      <alignment vertical="center" wrapText="1"/>
      <protection locked="0"/>
    </xf>
    <xf numFmtId="4" fontId="5" fillId="0" borderId="1" xfId="0" applyNumberFormat="1" applyFont="1" applyBorder="1" applyAlignment="1" applyProtection="1">
      <alignment vertical="center" wrapText="1"/>
      <protection locked="0"/>
    </xf>
    <xf numFmtId="4" fontId="5" fillId="0" borderId="7" xfId="0" applyNumberFormat="1" applyFont="1" applyBorder="1" applyAlignment="1" applyProtection="1">
      <alignment vertical="center" wrapText="1"/>
      <protection locked="0"/>
    </xf>
    <xf numFmtId="4" fontId="7" fillId="0" borderId="1" xfId="0" applyNumberFormat="1" applyFont="1" applyBorder="1" applyAlignment="1">
      <alignment vertical="center"/>
    </xf>
    <xf numFmtId="4" fontId="2" fillId="0" borderId="1" xfId="0" applyNumberFormat="1" applyFont="1" applyBorder="1" applyAlignment="1">
      <alignment vertical="center"/>
    </xf>
    <xf numFmtId="4" fontId="7" fillId="2" borderId="1" xfId="0" applyNumberFormat="1" applyFont="1" applyFill="1" applyBorder="1" applyAlignment="1">
      <alignment vertical="center"/>
    </xf>
    <xf numFmtId="4" fontId="2" fillId="2" borderId="1" xfId="0" applyNumberFormat="1" applyFont="1" applyFill="1" applyBorder="1" applyAlignment="1">
      <alignment vertical="center"/>
    </xf>
    <xf numFmtId="4" fontId="2" fillId="2" borderId="2" xfId="0" applyNumberFormat="1" applyFont="1" applyFill="1" applyBorder="1" applyAlignment="1">
      <alignment vertical="center"/>
    </xf>
    <xf numFmtId="4" fontId="2" fillId="2" borderId="7" xfId="0" applyNumberFormat="1" applyFont="1" applyFill="1" applyBorder="1" applyAlignment="1">
      <alignment vertical="center"/>
    </xf>
    <xf numFmtId="4" fontId="3" fillId="2" borderId="7" xfId="0" applyNumberFormat="1" applyFont="1" applyFill="1" applyBorder="1" applyAlignment="1" applyProtection="1">
      <alignment vertical="center" wrapText="1"/>
      <protection locked="0"/>
    </xf>
    <xf numFmtId="4" fontId="5" fillId="0" borderId="2" xfId="0" applyNumberFormat="1" applyFont="1" applyBorder="1" applyAlignment="1" applyProtection="1">
      <alignment vertical="center" wrapText="1"/>
      <protection locked="0"/>
    </xf>
    <xf numFmtId="4" fontId="2" fillId="0" borderId="2" xfId="0" applyNumberFormat="1" applyFont="1" applyBorder="1" applyAlignment="1">
      <alignment vertical="center"/>
    </xf>
    <xf numFmtId="4" fontId="2" fillId="0" borderId="7" xfId="0" applyNumberFormat="1" applyFont="1" applyBorder="1" applyAlignment="1">
      <alignment vertical="center"/>
    </xf>
    <xf numFmtId="4" fontId="3" fillId="0" borderId="1" xfId="0" applyNumberFormat="1" applyFont="1" applyBorder="1" applyAlignment="1">
      <alignment vertical="center"/>
    </xf>
    <xf numFmtId="4" fontId="3" fillId="2" borderId="2" xfId="0" applyNumberFormat="1" applyFont="1" applyFill="1" applyBorder="1" applyAlignment="1" applyProtection="1">
      <alignment vertical="center" wrapText="1"/>
      <protection locked="0"/>
    </xf>
    <xf numFmtId="4" fontId="9" fillId="0" borderId="1" xfId="0" applyNumberFormat="1" applyFont="1" applyBorder="1" applyAlignment="1">
      <alignment vertical="center"/>
    </xf>
    <xf numFmtId="4" fontId="9" fillId="0" borderId="2" xfId="0" applyNumberFormat="1" applyFont="1" applyBorder="1" applyAlignment="1">
      <alignment vertical="center"/>
    </xf>
    <xf numFmtId="4" fontId="9" fillId="0" borderId="7" xfId="0" applyNumberFormat="1" applyFont="1" applyBorder="1" applyAlignment="1">
      <alignment vertical="center"/>
    </xf>
    <xf numFmtId="4" fontId="8" fillId="0" borderId="1" xfId="0" applyNumberFormat="1" applyFont="1" applyBorder="1" applyAlignment="1" applyProtection="1">
      <alignment vertical="center" wrapText="1"/>
      <protection locked="0"/>
    </xf>
    <xf numFmtId="4" fontId="8" fillId="0" borderId="2" xfId="0" applyNumberFormat="1" applyFont="1" applyBorder="1" applyAlignment="1" applyProtection="1">
      <alignment vertical="center" wrapText="1"/>
      <protection locked="0"/>
    </xf>
    <xf numFmtId="4" fontId="8" fillId="0" borderId="7" xfId="0" applyNumberFormat="1" applyFont="1" applyBorder="1" applyAlignment="1" applyProtection="1">
      <alignment vertical="center" wrapText="1"/>
      <protection locked="0"/>
    </xf>
    <xf numFmtId="4" fontId="4" fillId="2" borderId="1" xfId="0" applyNumberFormat="1" applyFont="1" applyFill="1" applyBorder="1" applyAlignment="1">
      <alignment vertical="center"/>
    </xf>
    <xf numFmtId="4" fontId="4" fillId="2" borderId="8" xfId="0" applyNumberFormat="1" applyFont="1" applyFill="1" applyBorder="1" applyAlignment="1">
      <alignment vertical="center"/>
    </xf>
    <xf numFmtId="4" fontId="4" fillId="2" borderId="2" xfId="0" applyNumberFormat="1" applyFont="1" applyFill="1" applyBorder="1" applyAlignment="1">
      <alignment vertical="center"/>
    </xf>
    <xf numFmtId="4" fontId="4" fillId="2" borderId="7" xfId="0" applyNumberFormat="1" applyFont="1" applyFill="1" applyBorder="1" applyAlignment="1">
      <alignment vertical="center"/>
    </xf>
    <xf numFmtId="166" fontId="3" fillId="3" borderId="1" xfId="0" applyNumberFormat="1" applyFont="1" applyFill="1" applyBorder="1" applyAlignment="1">
      <alignment horizontal="left" vertical="center" wrapText="1"/>
    </xf>
    <xf numFmtId="4" fontId="5" fillId="2" borderId="1" xfId="0" applyNumberFormat="1" applyFont="1" applyFill="1" applyBorder="1" applyAlignment="1" applyProtection="1">
      <alignment horizontal="left" vertical="center" wrapText="1"/>
      <protection locked="0"/>
    </xf>
    <xf numFmtId="4" fontId="6" fillId="0" borderId="1" xfId="0" applyNumberFormat="1" applyFont="1" applyBorder="1" applyAlignment="1" applyProtection="1">
      <alignment horizontal="left" vertical="center" wrapText="1"/>
      <protection locked="0"/>
    </xf>
    <xf numFmtId="4" fontId="6" fillId="2" borderId="1" xfId="0" applyNumberFormat="1" applyFont="1" applyFill="1" applyBorder="1" applyAlignment="1" applyProtection="1">
      <alignment horizontal="left" vertical="center" wrapText="1"/>
      <protection locked="0"/>
    </xf>
    <xf numFmtId="4" fontId="2" fillId="0" borderId="1" xfId="0" applyNumberFormat="1" applyFont="1" applyBorder="1" applyAlignment="1">
      <alignment horizontal="left" vertical="center"/>
    </xf>
    <xf numFmtId="4" fontId="6" fillId="0" borderId="1" xfId="0" applyNumberFormat="1" applyFont="1" applyBorder="1" applyAlignment="1">
      <alignment horizontal="left" vertical="center" wrapText="1"/>
    </xf>
    <xf numFmtId="4" fontId="2" fillId="2" borderId="1" xfId="0" applyNumberFormat="1" applyFont="1" applyFill="1" applyBorder="1" applyAlignment="1">
      <alignment horizontal="left" vertical="center"/>
    </xf>
    <xf numFmtId="4" fontId="6" fillId="0" borderId="1" xfId="0" applyNumberFormat="1" applyFont="1" applyBorder="1" applyAlignment="1">
      <alignment horizontal="left" vertical="center"/>
    </xf>
    <xf numFmtId="4" fontId="12" fillId="0" borderId="1" xfId="0" applyNumberFormat="1" applyFont="1" applyBorder="1" applyAlignment="1">
      <alignment horizontal="left" vertical="center"/>
    </xf>
    <xf numFmtId="4" fontId="3" fillId="3" borderId="1" xfId="0" applyNumberFormat="1"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5" xfId="0" applyFont="1" applyBorder="1" applyAlignment="1">
      <alignment horizontal="left" vertical="center" wrapText="1"/>
    </xf>
    <xf numFmtId="0" fontId="6" fillId="0" borderId="1" xfId="0" applyFont="1" applyBorder="1" applyAlignment="1">
      <alignment horizontal="left" vertical="center" wrapText="1"/>
    </xf>
    <xf numFmtId="0" fontId="6" fillId="2" borderId="5"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10" fillId="0" borderId="3" xfId="0" applyFont="1" applyBorder="1" applyAlignment="1">
      <alignment horizontal="left" vertical="center" wrapText="1"/>
    </xf>
    <xf numFmtId="4" fontId="3" fillId="0" borderId="0" xfId="0" applyNumberFormat="1" applyFont="1" applyAlignment="1" applyProtection="1">
      <alignment vertical="top" wrapText="1"/>
      <protection locked="0"/>
    </xf>
    <xf numFmtId="0" fontId="3" fillId="0" borderId="1" xfId="0" applyFont="1" applyBorder="1" applyAlignment="1">
      <alignment horizontal="right" vertical="top" wrapText="1"/>
    </xf>
    <xf numFmtId="0" fontId="4" fillId="0" borderId="1" xfId="0" applyFont="1" applyBorder="1" applyAlignment="1" applyProtection="1">
      <alignment horizontal="right" vertical="top" wrapText="1"/>
      <protection locked="0"/>
    </xf>
    <xf numFmtId="0" fontId="3" fillId="0" borderId="1" xfId="0" applyFont="1" applyBorder="1" applyAlignment="1" applyProtection="1">
      <alignment horizontal="right" vertical="top" wrapText="1"/>
      <protection locked="0"/>
    </xf>
    <xf numFmtId="0" fontId="0" fillId="0" borderId="0" xfId="0" applyAlignment="1">
      <alignment horizontal="right"/>
    </xf>
    <xf numFmtId="49" fontId="5" fillId="0" borderId="1" xfId="0" applyNumberFormat="1" applyFont="1" applyBorder="1" applyAlignment="1" applyProtection="1">
      <alignment horizontal="right" vertical="top" wrapText="1"/>
      <protection locked="0"/>
    </xf>
    <xf numFmtId="49" fontId="17" fillId="0" borderId="1" xfId="0" applyNumberFormat="1" applyFont="1" applyBorder="1" applyAlignment="1" applyProtection="1">
      <alignment horizontal="right" vertical="top" wrapText="1"/>
      <protection locked="0"/>
    </xf>
    <xf numFmtId="4" fontId="5" fillId="6" borderId="10" xfId="0" applyNumberFormat="1" applyFont="1" applyFill="1" applyBorder="1" applyAlignment="1" applyProtection="1">
      <alignment horizontal="left" vertical="top" wrapText="1"/>
      <protection locked="0"/>
    </xf>
    <xf numFmtId="4" fontId="5" fillId="6" borderId="0" xfId="0" applyNumberFormat="1" applyFont="1" applyFill="1" applyAlignment="1" applyProtection="1">
      <alignment horizontal="left" vertical="top" wrapText="1"/>
      <protection locked="0"/>
    </xf>
  </cellXfs>
  <cellStyles count="1">
    <cellStyle name="Normaallaad" xfId="0" builtinId="0"/>
  </cellStyles>
  <dxfs count="0"/>
  <tableStyles count="0" defaultTableStyle="TableStyleMedium2" defaultPivotStyle="PivotStyleLight16"/>
  <colors>
    <mruColors>
      <color rgb="FFFC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582422</xdr:colOff>
      <xdr:row>0</xdr:row>
      <xdr:rowOff>800100</xdr:rowOff>
    </xdr:to>
    <xdr:pic>
      <xdr:nvPicPr>
        <xdr:cNvPr id="2" name="Pilt 1">
          <a:extLst>
            <a:ext uri="{FF2B5EF4-FFF2-40B4-BE49-F238E27FC236}">
              <a16:creationId xmlns:a16="http://schemas.microsoft.com/office/drawing/2014/main" id="{5D489BCF-5CF3-9C82-5CF4-C8D374D68537}"/>
            </a:ext>
          </a:extLst>
        </xdr:cNvPr>
        <xdr:cNvPicPr>
          <a:picLocks noChangeAspect="1"/>
        </xdr:cNvPicPr>
      </xdr:nvPicPr>
      <xdr:blipFill>
        <a:blip xmlns:r="http://schemas.openxmlformats.org/officeDocument/2006/relationships" r:embed="rId1"/>
        <a:stretch>
          <a:fillRect/>
        </a:stretch>
      </xdr:blipFill>
      <xdr:spPr>
        <a:xfrm>
          <a:off x="388620" y="0"/>
          <a:ext cx="3296412" cy="800100"/>
        </a:xfrm>
        <a:prstGeom prst="rect">
          <a:avLst/>
        </a:prstGeom>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B50C4-24D7-40E6-AF84-60FA76F1ACCC}">
  <sheetPr>
    <pageSetUpPr fitToPage="1"/>
  </sheetPr>
  <dimension ref="A1:Z53"/>
  <sheetViews>
    <sheetView tabSelected="1" zoomScaleNormal="100" zoomScaleSheetLayoutView="100" workbookViewId="0">
      <selection activeCell="F24" sqref="F24"/>
    </sheetView>
  </sheetViews>
  <sheetFormatPr defaultRowHeight="14.4" x14ac:dyDescent="0.3"/>
  <cols>
    <col min="1" max="1" width="5.5546875" style="79" customWidth="1"/>
    <col min="2" max="2" width="39" customWidth="1"/>
    <col min="3" max="3" width="9.44140625" customWidth="1"/>
    <col min="4" max="4" width="11.44140625" customWidth="1"/>
    <col min="5" max="5" width="15.44140625" customWidth="1"/>
    <col min="6" max="6" width="17.5546875" customWidth="1"/>
    <col min="7" max="7" width="16.5546875" customWidth="1"/>
    <col min="8" max="8" width="20" customWidth="1"/>
    <col min="9" max="9" width="11.44140625" customWidth="1"/>
    <col min="10" max="10" width="13.5546875" customWidth="1"/>
    <col min="11" max="11" width="11.44140625" customWidth="1"/>
    <col min="12" max="13" width="12.5546875" customWidth="1"/>
    <col min="14" max="14" width="14.44140625" hidden="1" customWidth="1"/>
    <col min="15" max="15" width="20.44140625" customWidth="1"/>
    <col min="16" max="16" width="13" bestFit="1" customWidth="1"/>
    <col min="17" max="17" width="17.44140625" customWidth="1"/>
    <col min="26" max="26" width="11.44140625" bestFit="1" customWidth="1"/>
  </cols>
  <sheetData>
    <row r="1" spans="1:19" ht="66.599999999999994" customHeight="1" x14ac:dyDescent="0.3"/>
    <row r="2" spans="1:19" x14ac:dyDescent="0.3">
      <c r="A2" s="76"/>
      <c r="B2" s="4"/>
      <c r="C2" s="4" t="s">
        <v>0</v>
      </c>
      <c r="D2" s="4" t="s">
        <v>0</v>
      </c>
      <c r="E2" s="4" t="s">
        <v>0</v>
      </c>
      <c r="F2" s="4" t="s">
        <v>0</v>
      </c>
      <c r="G2" s="4" t="s">
        <v>0</v>
      </c>
      <c r="H2" s="4" t="s">
        <v>1</v>
      </c>
      <c r="I2" s="5" t="s">
        <v>0</v>
      </c>
      <c r="J2" s="5" t="s">
        <v>0</v>
      </c>
      <c r="K2" s="5" t="s">
        <v>0</v>
      </c>
      <c r="L2" s="13" t="s">
        <v>0</v>
      </c>
      <c r="M2" s="20" t="s">
        <v>0</v>
      </c>
      <c r="N2" s="14"/>
      <c r="O2" s="15"/>
    </row>
    <row r="3" spans="1:19" ht="27.6" x14ac:dyDescent="0.3">
      <c r="A3" s="76" t="s">
        <v>2</v>
      </c>
      <c r="B3" s="4" t="s">
        <v>3</v>
      </c>
      <c r="C3" s="4" t="s">
        <v>4</v>
      </c>
      <c r="D3" s="4" t="s">
        <v>5</v>
      </c>
      <c r="E3" s="4" t="s">
        <v>6</v>
      </c>
      <c r="F3" s="4" t="s">
        <v>7</v>
      </c>
      <c r="G3" s="4" t="s">
        <v>8</v>
      </c>
      <c r="H3" s="4" t="s">
        <v>9</v>
      </c>
      <c r="I3" s="5" t="s">
        <v>10</v>
      </c>
      <c r="J3" s="5" t="s">
        <v>11</v>
      </c>
      <c r="K3" s="5" t="s">
        <v>12</v>
      </c>
      <c r="L3" s="13" t="s">
        <v>13</v>
      </c>
      <c r="M3" s="20" t="s">
        <v>14</v>
      </c>
      <c r="O3" s="15"/>
    </row>
    <row r="4" spans="1:19" ht="22.5" customHeight="1" x14ac:dyDescent="0.3">
      <c r="A4" s="76"/>
      <c r="B4" s="23" t="s">
        <v>15</v>
      </c>
      <c r="C4" s="58">
        <v>1.036081</v>
      </c>
      <c r="D4" s="67"/>
      <c r="E4" s="4"/>
      <c r="F4" s="4"/>
      <c r="G4" s="4"/>
      <c r="H4" s="4"/>
      <c r="I4" s="5"/>
      <c r="J4" s="5"/>
      <c r="K4" s="5"/>
      <c r="L4" s="13"/>
      <c r="M4" s="13"/>
      <c r="O4" s="15"/>
    </row>
    <row r="5" spans="1:19" ht="27" customHeight="1" x14ac:dyDescent="0.3">
      <c r="A5" s="77">
        <v>1</v>
      </c>
      <c r="B5" s="3" t="s">
        <v>16</v>
      </c>
      <c r="C5" s="59"/>
      <c r="D5" s="59"/>
      <c r="E5" s="30">
        <f>ROUND(E6+E10+E15+E16+E20,2)</f>
        <v>1542928.07</v>
      </c>
      <c r="F5" s="31">
        <f>E5*0.85</f>
        <v>1311488.8595</v>
      </c>
      <c r="G5" s="31">
        <f>E5*0.15</f>
        <v>231439.21050000002</v>
      </c>
      <c r="H5" s="30">
        <f>ROUND(F5/$C$4,2)</f>
        <v>1265816.92</v>
      </c>
      <c r="I5" s="32">
        <f t="shared" ref="I5:M5" si="0">SUM(I6+I10+I15+I16+I20)</f>
        <v>192866.00874999998</v>
      </c>
      <c r="J5" s="32">
        <f t="shared" si="0"/>
        <v>385732.01749999996</v>
      </c>
      <c r="K5" s="32">
        <f t="shared" si="0"/>
        <v>385732.01749999996</v>
      </c>
      <c r="L5" s="32">
        <f t="shared" si="0"/>
        <v>385732.01749999996</v>
      </c>
      <c r="M5" s="32">
        <f t="shared" si="0"/>
        <v>192866.00874999998</v>
      </c>
      <c r="O5" s="15"/>
      <c r="P5" s="10"/>
    </row>
    <row r="6" spans="1:19" x14ac:dyDescent="0.3">
      <c r="A6" s="81" t="s">
        <v>17</v>
      </c>
      <c r="B6" s="1" t="s">
        <v>18</v>
      </c>
      <c r="C6" s="59"/>
      <c r="D6" s="59"/>
      <c r="E6" s="30">
        <f t="shared" ref="E6:G6" si="1">SUM(E7+E8+E9)</f>
        <v>692732</v>
      </c>
      <c r="F6" s="31">
        <f>E6*0.85</f>
        <v>588822.19999999995</v>
      </c>
      <c r="G6" s="32">
        <f t="shared" si="1"/>
        <v>103909.79999999999</v>
      </c>
      <c r="H6" s="30">
        <f t="shared" ref="H6:H45" si="2">ROUND(F6/$C$4,2)</f>
        <v>568316.76</v>
      </c>
      <c r="I6" s="32">
        <f>SUM(I7:I9)</f>
        <v>86591.5</v>
      </c>
      <c r="J6" s="32">
        <f t="shared" ref="J6:M6" si="3">SUM(J7:J9)</f>
        <v>173183</v>
      </c>
      <c r="K6" s="32">
        <f t="shared" si="3"/>
        <v>173183</v>
      </c>
      <c r="L6" s="32">
        <f t="shared" si="3"/>
        <v>173183</v>
      </c>
      <c r="M6" s="32">
        <f t="shared" si="3"/>
        <v>86591.5</v>
      </c>
      <c r="N6" s="10">
        <f>1542928-'Final Budget'!E5</f>
        <v>-7.000000006519258E-2</v>
      </c>
      <c r="O6" s="15"/>
      <c r="P6" s="10"/>
    </row>
    <row r="7" spans="1:19" ht="27.6" x14ac:dyDescent="0.3">
      <c r="A7" s="80" t="s">
        <v>19</v>
      </c>
      <c r="B7" s="2" t="s">
        <v>20</v>
      </c>
      <c r="C7" s="60">
        <v>4500</v>
      </c>
      <c r="D7" s="68" t="s">
        <v>21</v>
      </c>
      <c r="E7" s="33">
        <f>ROUND(C7*51,2)</f>
        <v>229500</v>
      </c>
      <c r="F7" s="34">
        <f>E7*0.85</f>
        <v>195075</v>
      </c>
      <c r="G7" s="34">
        <f>E7*0.15</f>
        <v>34425</v>
      </c>
      <c r="H7" s="30">
        <f t="shared" si="2"/>
        <v>188281.61</v>
      </c>
      <c r="I7" s="34">
        <f>E7*0.125</f>
        <v>28687.5</v>
      </c>
      <c r="J7" s="34">
        <f>E7*0.25</f>
        <v>57375</v>
      </c>
      <c r="K7" s="34">
        <f>E7*0.25</f>
        <v>57375</v>
      </c>
      <c r="L7" s="34">
        <f>E7*0.25</f>
        <v>57375</v>
      </c>
      <c r="M7" s="35">
        <f>E7*0.125</f>
        <v>28687.5</v>
      </c>
      <c r="O7" s="15"/>
      <c r="P7" s="10"/>
    </row>
    <row r="8" spans="1:19" ht="27.6" x14ac:dyDescent="0.3">
      <c r="A8" s="81" t="s">
        <v>22</v>
      </c>
      <c r="B8" s="2" t="s">
        <v>23</v>
      </c>
      <c r="C8" s="60">
        <v>4200</v>
      </c>
      <c r="D8" s="69" t="s">
        <v>24</v>
      </c>
      <c r="E8" s="36">
        <f>ROUND(C8*0.9*51,2)</f>
        <v>192780</v>
      </c>
      <c r="F8" s="37">
        <f>E8*0.85</f>
        <v>163863</v>
      </c>
      <c r="G8" s="37">
        <f>E8*0.15</f>
        <v>28917</v>
      </c>
      <c r="H8" s="30">
        <f t="shared" si="2"/>
        <v>158156.54999999999</v>
      </c>
      <c r="I8" s="34">
        <f>E8*0.125</f>
        <v>24097.5</v>
      </c>
      <c r="J8" s="34">
        <f>E8*0.25</f>
        <v>48195</v>
      </c>
      <c r="K8" s="34">
        <f>E8*0.25</f>
        <v>48195</v>
      </c>
      <c r="L8" s="34">
        <f>E8*0.25</f>
        <v>48195</v>
      </c>
      <c r="M8" s="35">
        <f>E8*0.125</f>
        <v>24097.5</v>
      </c>
      <c r="O8" s="15"/>
      <c r="P8" s="10"/>
      <c r="R8" s="19"/>
      <c r="S8" s="18"/>
    </row>
    <row r="9" spans="1:19" ht="55.5" customHeight="1" x14ac:dyDescent="0.3">
      <c r="A9" s="81" t="s">
        <v>25</v>
      </c>
      <c r="B9" s="6" t="s">
        <v>26</v>
      </c>
      <c r="C9" s="60">
        <v>5201.0000190000001</v>
      </c>
      <c r="D9" s="69" t="s">
        <v>27</v>
      </c>
      <c r="E9" s="36">
        <f>ROUND(C9*52,2)</f>
        <v>270452</v>
      </c>
      <c r="F9" s="37">
        <f t="shared" ref="F9:F19" si="4">E9*0.85</f>
        <v>229884.19999999998</v>
      </c>
      <c r="G9" s="37">
        <f t="shared" ref="G9:G19" si="5">E9*0.15</f>
        <v>40567.799999999996</v>
      </c>
      <c r="H9" s="30">
        <f t="shared" si="2"/>
        <v>221878.6</v>
      </c>
      <c r="I9" s="34">
        <f>E9*0.125</f>
        <v>33806.5</v>
      </c>
      <c r="J9" s="34">
        <f>E9*0.25</f>
        <v>67613</v>
      </c>
      <c r="K9" s="34">
        <f>E9*0.25</f>
        <v>67613</v>
      </c>
      <c r="L9" s="34">
        <f>E9*0.25</f>
        <v>67613</v>
      </c>
      <c r="M9" s="35">
        <f>E9*0.125</f>
        <v>33806.5</v>
      </c>
      <c r="O9" s="15"/>
      <c r="P9" s="10"/>
      <c r="R9" s="19"/>
      <c r="S9" s="10"/>
    </row>
    <row r="10" spans="1:19" x14ac:dyDescent="0.3">
      <c r="A10" s="81" t="s">
        <v>28</v>
      </c>
      <c r="B10" s="1" t="s">
        <v>29</v>
      </c>
      <c r="C10" s="61"/>
      <c r="D10" s="61"/>
      <c r="E10" s="38">
        <f>SUM(E11:E14)</f>
        <v>140000</v>
      </c>
      <c r="F10" s="39">
        <f>E10*0.85</f>
        <v>119000</v>
      </c>
      <c r="G10" s="39">
        <f t="shared" si="5"/>
        <v>21000</v>
      </c>
      <c r="H10" s="30">
        <f t="shared" si="2"/>
        <v>114855.88</v>
      </c>
      <c r="I10" s="39">
        <f>I11+I12+I13+I14</f>
        <v>17500</v>
      </c>
      <c r="J10" s="39">
        <f>J11+J12+J13+J14</f>
        <v>35000</v>
      </c>
      <c r="K10" s="39">
        <f>K11+K12+K13+K14</f>
        <v>35000</v>
      </c>
      <c r="L10" s="40">
        <f>L11+L12+L13+L14</f>
        <v>35000</v>
      </c>
      <c r="M10" s="41">
        <f>M11+M12+M13+M14</f>
        <v>17500</v>
      </c>
      <c r="O10" s="15"/>
      <c r="P10" s="10"/>
    </row>
    <row r="11" spans="1:19" ht="27.6" x14ac:dyDescent="0.3">
      <c r="A11" s="81" t="s">
        <v>30</v>
      </c>
      <c r="B11" s="6" t="s">
        <v>31</v>
      </c>
      <c r="C11" s="60">
        <v>784.31372549019602</v>
      </c>
      <c r="D11" s="70" t="s">
        <v>32</v>
      </c>
      <c r="E11" s="33">
        <f>C11*51</f>
        <v>40000</v>
      </c>
      <c r="F11" s="34">
        <f>E11*0.85</f>
        <v>34000</v>
      </c>
      <c r="G11" s="34">
        <f>E11*0.15</f>
        <v>6000</v>
      </c>
      <c r="H11" s="30">
        <f t="shared" si="2"/>
        <v>32815.97</v>
      </c>
      <c r="I11" s="34">
        <f t="shared" ref="I11:I16" si="6">E11*0.125</f>
        <v>5000</v>
      </c>
      <c r="J11" s="34">
        <f t="shared" ref="J11:J16" si="7">E11*0.25</f>
        <v>10000</v>
      </c>
      <c r="K11" s="34">
        <f t="shared" ref="K11:K16" si="8">E11*0.25</f>
        <v>10000</v>
      </c>
      <c r="L11" s="34">
        <f t="shared" ref="L11:L16" si="9">E11*0.25</f>
        <v>10000</v>
      </c>
      <c r="M11" s="35">
        <f t="shared" ref="M11:M16" si="10">E11*0.125</f>
        <v>5000</v>
      </c>
      <c r="O11" s="15"/>
      <c r="P11" s="10"/>
    </row>
    <row r="12" spans="1:19" ht="27.6" x14ac:dyDescent="0.3">
      <c r="A12" s="81" t="s">
        <v>33</v>
      </c>
      <c r="B12" s="2" t="s">
        <v>34</v>
      </c>
      <c r="C12" s="60">
        <v>784.31372549019613</v>
      </c>
      <c r="D12" s="70" t="s">
        <v>32</v>
      </c>
      <c r="E12" s="33">
        <f>C12*51</f>
        <v>40000</v>
      </c>
      <c r="F12" s="37">
        <f t="shared" ref="F12:F13" si="11">E12*0.85</f>
        <v>34000</v>
      </c>
      <c r="G12" s="37">
        <f t="shared" ref="G12:G13" si="12">E12*0.15</f>
        <v>6000</v>
      </c>
      <c r="H12" s="30">
        <f t="shared" si="2"/>
        <v>32815.97</v>
      </c>
      <c r="I12" s="34">
        <f t="shared" si="6"/>
        <v>5000</v>
      </c>
      <c r="J12" s="34">
        <f t="shared" si="7"/>
        <v>10000</v>
      </c>
      <c r="K12" s="34">
        <f t="shared" si="8"/>
        <v>10000</v>
      </c>
      <c r="L12" s="34">
        <f t="shared" si="9"/>
        <v>10000</v>
      </c>
      <c r="M12" s="35">
        <f t="shared" si="10"/>
        <v>5000</v>
      </c>
      <c r="O12" s="15"/>
      <c r="P12" s="10"/>
    </row>
    <row r="13" spans="1:19" x14ac:dyDescent="0.3">
      <c r="A13" s="81" t="s">
        <v>35</v>
      </c>
      <c r="B13" s="2" t="s">
        <v>36</v>
      </c>
      <c r="C13" s="60">
        <v>784.31372549019613</v>
      </c>
      <c r="D13" s="70" t="s">
        <v>32</v>
      </c>
      <c r="E13" s="33">
        <f>C13*51</f>
        <v>40000</v>
      </c>
      <c r="F13" s="37">
        <f t="shared" si="11"/>
        <v>34000</v>
      </c>
      <c r="G13" s="37">
        <f t="shared" si="12"/>
        <v>6000</v>
      </c>
      <c r="H13" s="30">
        <f t="shared" si="2"/>
        <v>32815.97</v>
      </c>
      <c r="I13" s="34">
        <f t="shared" si="6"/>
        <v>5000</v>
      </c>
      <c r="J13" s="34">
        <f t="shared" si="7"/>
        <v>10000</v>
      </c>
      <c r="K13" s="34">
        <f t="shared" si="8"/>
        <v>10000</v>
      </c>
      <c r="L13" s="34">
        <f t="shared" si="9"/>
        <v>10000</v>
      </c>
      <c r="M13" s="35">
        <f t="shared" si="10"/>
        <v>5000</v>
      </c>
      <c r="O13" s="15"/>
      <c r="P13" s="10"/>
    </row>
    <row r="14" spans="1:19" x14ac:dyDescent="0.3">
      <c r="A14" s="81" t="s">
        <v>37</v>
      </c>
      <c r="B14" s="6" t="s">
        <v>38</v>
      </c>
      <c r="C14" s="60">
        <v>392.15686274509807</v>
      </c>
      <c r="D14" s="70" t="s">
        <v>32</v>
      </c>
      <c r="E14" s="33">
        <f>C14*51</f>
        <v>20000</v>
      </c>
      <c r="F14" s="34">
        <f>E14*0.85</f>
        <v>17000</v>
      </c>
      <c r="G14" s="34">
        <f t="shared" ref="G14:G17" si="13">E14*0.15</f>
        <v>3000</v>
      </c>
      <c r="H14" s="30">
        <f t="shared" si="2"/>
        <v>16407.98</v>
      </c>
      <c r="I14" s="34">
        <f t="shared" si="6"/>
        <v>2500</v>
      </c>
      <c r="J14" s="34">
        <f t="shared" si="7"/>
        <v>5000</v>
      </c>
      <c r="K14" s="34">
        <f t="shared" si="8"/>
        <v>5000</v>
      </c>
      <c r="L14" s="34">
        <f t="shared" si="9"/>
        <v>5000</v>
      </c>
      <c r="M14" s="35">
        <f t="shared" si="10"/>
        <v>2500</v>
      </c>
      <c r="O14" s="15"/>
      <c r="P14" s="10"/>
    </row>
    <row r="15" spans="1:19" ht="22.5" customHeight="1" x14ac:dyDescent="0.3">
      <c r="A15" s="81" t="s">
        <v>39</v>
      </c>
      <c r="B15" s="1" t="s">
        <v>40</v>
      </c>
      <c r="C15" s="61"/>
      <c r="D15" s="71"/>
      <c r="E15" s="30">
        <v>543776.11</v>
      </c>
      <c r="F15" s="30">
        <f>E15*0.85</f>
        <v>462209.69349999999</v>
      </c>
      <c r="G15" s="30">
        <f t="shared" si="13"/>
        <v>81566.416499999992</v>
      </c>
      <c r="H15" s="30">
        <f t="shared" si="2"/>
        <v>446113.47</v>
      </c>
      <c r="I15" s="30">
        <f t="shared" si="6"/>
        <v>67972.013749999998</v>
      </c>
      <c r="J15" s="30">
        <f t="shared" si="7"/>
        <v>135944.0275</v>
      </c>
      <c r="K15" s="30">
        <f t="shared" si="8"/>
        <v>135944.0275</v>
      </c>
      <c r="L15" s="30">
        <f t="shared" si="9"/>
        <v>135944.0275</v>
      </c>
      <c r="M15" s="42">
        <f t="shared" si="10"/>
        <v>67972.013749999998</v>
      </c>
      <c r="O15" s="15"/>
      <c r="P15" s="10"/>
    </row>
    <row r="16" spans="1:19" ht="28.5" customHeight="1" x14ac:dyDescent="0.3">
      <c r="A16" s="81" t="s">
        <v>41</v>
      </c>
      <c r="B16" s="1" t="s">
        <v>42</v>
      </c>
      <c r="C16" s="61"/>
      <c r="D16" s="61"/>
      <c r="E16" s="30">
        <f>SUM(E17:E19)</f>
        <v>154000.01</v>
      </c>
      <c r="F16" s="30">
        <f>E16*0.85</f>
        <v>130900.00850000001</v>
      </c>
      <c r="G16" s="30">
        <f t="shared" si="13"/>
        <v>23100.001500000002</v>
      </c>
      <c r="H16" s="30">
        <f t="shared" si="2"/>
        <v>126341.48</v>
      </c>
      <c r="I16" s="30">
        <f t="shared" si="6"/>
        <v>19250.001250000001</v>
      </c>
      <c r="J16" s="30">
        <f t="shared" si="7"/>
        <v>38500.002500000002</v>
      </c>
      <c r="K16" s="30">
        <f t="shared" si="8"/>
        <v>38500.002500000002</v>
      </c>
      <c r="L16" s="30">
        <f t="shared" si="9"/>
        <v>38500.002500000002</v>
      </c>
      <c r="M16" s="42">
        <f t="shared" si="10"/>
        <v>19250.001250000001</v>
      </c>
      <c r="O16" s="15"/>
      <c r="P16" s="10"/>
    </row>
    <row r="17" spans="1:16" ht="34.35" customHeight="1" x14ac:dyDescent="0.3">
      <c r="A17" s="81" t="s">
        <v>43</v>
      </c>
      <c r="B17" s="2" t="s">
        <v>44</v>
      </c>
      <c r="C17" s="60">
        <f>784.313725490196+274.51</f>
        <v>1058.823725490196</v>
      </c>
      <c r="D17" s="70" t="s">
        <v>32</v>
      </c>
      <c r="E17" s="33">
        <f>C17*51</f>
        <v>54000.009999999995</v>
      </c>
      <c r="F17" s="34">
        <f>E17*0.85</f>
        <v>45900.008499999996</v>
      </c>
      <c r="G17" s="34">
        <f t="shared" si="13"/>
        <v>8100.0014999999985</v>
      </c>
      <c r="H17" s="30">
        <f t="shared" si="2"/>
        <v>44301.56</v>
      </c>
      <c r="I17" s="34">
        <f>E17/4/2</f>
        <v>6750.0012499999993</v>
      </c>
      <c r="J17" s="34">
        <f>E17/4</f>
        <v>13500.002499999999</v>
      </c>
      <c r="K17" s="34">
        <f>E17/4</f>
        <v>13500.002499999999</v>
      </c>
      <c r="L17" s="43">
        <f>E17/4</f>
        <v>13500.002499999999</v>
      </c>
      <c r="M17" s="35">
        <f>E17/4/2</f>
        <v>6750.0012499999993</v>
      </c>
      <c r="O17" s="15"/>
      <c r="P17" s="10"/>
    </row>
    <row r="18" spans="1:16" ht="18.75" customHeight="1" x14ac:dyDescent="0.3">
      <c r="A18" s="81" t="s">
        <v>45</v>
      </c>
      <c r="B18" s="2" t="s">
        <v>46</v>
      </c>
      <c r="C18" s="60">
        <v>30000</v>
      </c>
      <c r="D18" s="60" t="s">
        <v>47</v>
      </c>
      <c r="E18" s="36">
        <f>C18*2</f>
        <v>60000</v>
      </c>
      <c r="F18" s="37">
        <f t="shared" si="4"/>
        <v>51000</v>
      </c>
      <c r="G18" s="37">
        <f t="shared" si="5"/>
        <v>9000</v>
      </c>
      <c r="H18" s="30">
        <f t="shared" si="2"/>
        <v>49223.95</v>
      </c>
      <c r="I18" s="37">
        <f>C18</f>
        <v>30000</v>
      </c>
      <c r="J18" s="37">
        <v>0</v>
      </c>
      <c r="K18" s="37">
        <v>0</v>
      </c>
      <c r="L18" s="44">
        <v>0</v>
      </c>
      <c r="M18" s="45">
        <f>C18</f>
        <v>30000</v>
      </c>
      <c r="O18" s="15"/>
      <c r="P18" s="10"/>
    </row>
    <row r="19" spans="1:16" ht="19.5" customHeight="1" x14ac:dyDescent="0.3">
      <c r="A19" s="81" t="s">
        <v>48</v>
      </c>
      <c r="B19" s="2" t="s">
        <v>49</v>
      </c>
      <c r="C19" s="60">
        <v>40000</v>
      </c>
      <c r="D19" s="60">
        <v>1</v>
      </c>
      <c r="E19" s="46">
        <v>40000</v>
      </c>
      <c r="F19" s="37">
        <f t="shared" si="4"/>
        <v>34000</v>
      </c>
      <c r="G19" s="37">
        <f t="shared" si="5"/>
        <v>6000</v>
      </c>
      <c r="H19" s="30">
        <f t="shared" si="2"/>
        <v>32815.97</v>
      </c>
      <c r="I19" s="37">
        <v>0</v>
      </c>
      <c r="J19" s="37">
        <v>0</v>
      </c>
      <c r="K19" s="37">
        <f>E19/5</f>
        <v>8000</v>
      </c>
      <c r="L19" s="44">
        <f>E19/5*4</f>
        <v>32000</v>
      </c>
      <c r="M19" s="45">
        <v>0</v>
      </c>
      <c r="O19" s="15"/>
      <c r="P19" s="10"/>
    </row>
    <row r="20" spans="1:16" ht="25.5" customHeight="1" x14ac:dyDescent="0.3">
      <c r="A20" s="81" t="s">
        <v>50</v>
      </c>
      <c r="B20" s="1" t="s">
        <v>51</v>
      </c>
      <c r="C20" s="59"/>
      <c r="D20" s="59"/>
      <c r="E20" s="30">
        <f t="shared" ref="E20:M20" si="14">SUM(E21:E21)</f>
        <v>12419.95</v>
      </c>
      <c r="F20" s="30">
        <f t="shared" si="14"/>
        <v>10556.9575</v>
      </c>
      <c r="G20" s="30">
        <f t="shared" si="14"/>
        <v>1862.9925000000001</v>
      </c>
      <c r="H20" s="30">
        <f t="shared" si="2"/>
        <v>10189.32</v>
      </c>
      <c r="I20" s="30">
        <f t="shared" si="14"/>
        <v>1552.4937500000001</v>
      </c>
      <c r="J20" s="30">
        <f t="shared" si="14"/>
        <v>3104.9875000000002</v>
      </c>
      <c r="K20" s="30">
        <f t="shared" si="14"/>
        <v>3104.9875000000002</v>
      </c>
      <c r="L20" s="47">
        <f t="shared" si="14"/>
        <v>3104.9875000000002</v>
      </c>
      <c r="M20" s="42">
        <f t="shared" si="14"/>
        <v>1552.4937500000001</v>
      </c>
      <c r="O20" s="15"/>
      <c r="P20" s="10"/>
    </row>
    <row r="21" spans="1:16" ht="22.5" customHeight="1" x14ac:dyDescent="0.3">
      <c r="A21" s="81" t="s">
        <v>52</v>
      </c>
      <c r="B21" s="2" t="s">
        <v>51</v>
      </c>
      <c r="C21" s="62"/>
      <c r="D21" s="60"/>
      <c r="E21" s="46">
        <v>12419.95</v>
      </c>
      <c r="F21" s="48">
        <f>E21*0.85</f>
        <v>10556.9575</v>
      </c>
      <c r="G21" s="48">
        <f>E21*0.15</f>
        <v>1862.9925000000001</v>
      </c>
      <c r="H21" s="30">
        <f t="shared" si="2"/>
        <v>10189.32</v>
      </c>
      <c r="I21" s="37">
        <f>E21/4/2</f>
        <v>1552.4937500000001</v>
      </c>
      <c r="J21" s="37">
        <f>E21/4</f>
        <v>3104.9875000000002</v>
      </c>
      <c r="K21" s="37">
        <f>E21/4</f>
        <v>3104.9875000000002</v>
      </c>
      <c r="L21" s="44">
        <f>E21/4</f>
        <v>3104.9875000000002</v>
      </c>
      <c r="M21" s="45">
        <f>E21/4/2</f>
        <v>1552.4937500000001</v>
      </c>
      <c r="O21" s="15"/>
      <c r="P21" s="10"/>
    </row>
    <row r="22" spans="1:16" ht="39.75" customHeight="1" x14ac:dyDescent="0.3">
      <c r="A22" s="81">
        <v>2</v>
      </c>
      <c r="B22" s="3" t="s">
        <v>53</v>
      </c>
      <c r="C22" s="59"/>
      <c r="D22" s="59"/>
      <c r="E22" s="38">
        <f>SUM(E23:E29)</f>
        <v>6816349.1325000003</v>
      </c>
      <c r="F22" s="39">
        <f>E22*0.85</f>
        <v>5793896.7626250004</v>
      </c>
      <c r="G22" s="39">
        <f t="shared" ref="G22:G35" si="15">E22*0.15</f>
        <v>1022452.369875</v>
      </c>
      <c r="H22" s="30">
        <f t="shared" si="2"/>
        <v>5592127.2199999997</v>
      </c>
      <c r="I22" s="39">
        <f>E22*0.2/2</f>
        <v>681634.9132500001</v>
      </c>
      <c r="J22" s="39">
        <f>E22*0.4</f>
        <v>2726539.6530000004</v>
      </c>
      <c r="K22" s="39">
        <f>E22*0.2</f>
        <v>1363269.8265000002</v>
      </c>
      <c r="L22" s="40">
        <f>E22*0.2</f>
        <v>1363269.8265000002</v>
      </c>
      <c r="M22" s="41">
        <f>E22*0.2/2</f>
        <v>681634.9132500001</v>
      </c>
      <c r="N22" s="11">
        <f>E25+E26+E27+E28+E29+E23</f>
        <v>6370419.7500000009</v>
      </c>
      <c r="O22" s="15"/>
      <c r="P22" s="10"/>
    </row>
    <row r="23" spans="1:16" ht="27.6" x14ac:dyDescent="0.3">
      <c r="A23" s="81" t="s">
        <v>54</v>
      </c>
      <c r="B23" s="2" t="s">
        <v>55</v>
      </c>
      <c r="C23" s="60">
        <v>4023.53</v>
      </c>
      <c r="D23" s="60" t="s">
        <v>21</v>
      </c>
      <c r="E23" s="36">
        <f>ROUND(C23*51,2)</f>
        <v>205200.03</v>
      </c>
      <c r="F23" s="37">
        <f t="shared" ref="F23:F35" si="16">E23*0.85</f>
        <v>174420.02549999999</v>
      </c>
      <c r="G23" s="37">
        <f t="shared" si="15"/>
        <v>30780.004499999999</v>
      </c>
      <c r="H23" s="30">
        <f t="shared" si="2"/>
        <v>168345.94</v>
      </c>
      <c r="I23" s="37">
        <f>E23/4/2</f>
        <v>25650.00375</v>
      </c>
      <c r="J23" s="37">
        <f>E23/4</f>
        <v>51300.0075</v>
      </c>
      <c r="K23" s="37">
        <f>E23/4</f>
        <v>51300.0075</v>
      </c>
      <c r="L23" s="44">
        <f>E23/4</f>
        <v>51300.0075</v>
      </c>
      <c r="M23" s="45">
        <f>E23/4/2</f>
        <v>25650.00375</v>
      </c>
      <c r="O23" s="15"/>
      <c r="P23" s="10"/>
    </row>
    <row r="24" spans="1:16" ht="41.4" x14ac:dyDescent="0.3">
      <c r="A24" s="81" t="s">
        <v>56</v>
      </c>
      <c r="B24" s="2" t="s">
        <v>57</v>
      </c>
      <c r="C24" s="60"/>
      <c r="D24" s="72" t="s">
        <v>58</v>
      </c>
      <c r="E24" s="36">
        <f>(E23+E25+E26+E27+E28+E29)*0.07</f>
        <v>445929.38250000012</v>
      </c>
      <c r="F24" s="37">
        <f t="shared" ref="F24" si="17">E24*0.85</f>
        <v>379039.97512500011</v>
      </c>
      <c r="G24" s="37">
        <f t="shared" ref="G24" si="18">E24*0.15</f>
        <v>66889.40737500001</v>
      </c>
      <c r="H24" s="30">
        <f t="shared" si="2"/>
        <v>365840.1</v>
      </c>
      <c r="I24" s="37">
        <f>E24/4/2</f>
        <v>55741.172812500015</v>
      </c>
      <c r="J24" s="37">
        <f>E24/4</f>
        <v>111482.34562500003</v>
      </c>
      <c r="K24" s="37">
        <f>E24/4</f>
        <v>111482.34562500003</v>
      </c>
      <c r="L24" s="37">
        <f>E24/4</f>
        <v>111482.34562500003</v>
      </c>
      <c r="M24" s="45">
        <f>E24/4/2</f>
        <v>55741.172812500015</v>
      </c>
      <c r="O24" s="15"/>
      <c r="P24" s="10"/>
    </row>
    <row r="25" spans="1:16" ht="27.6" x14ac:dyDescent="0.3">
      <c r="A25" s="81" t="s">
        <v>59</v>
      </c>
      <c r="B25" s="2" t="s">
        <v>60</v>
      </c>
      <c r="C25" s="60" t="s">
        <v>61</v>
      </c>
      <c r="D25" s="70" t="s">
        <v>32</v>
      </c>
      <c r="E25" s="36">
        <v>1446121.03</v>
      </c>
      <c r="F25" s="37">
        <f t="shared" si="16"/>
        <v>1229202.8755000001</v>
      </c>
      <c r="G25" s="37">
        <f t="shared" si="15"/>
        <v>216918.1545</v>
      </c>
      <c r="H25" s="30">
        <f t="shared" si="2"/>
        <v>1186396.5</v>
      </c>
      <c r="I25" s="34">
        <f t="shared" ref="I25:I26" si="19">E25/4/2</f>
        <v>180765.12875</v>
      </c>
      <c r="J25" s="34">
        <f t="shared" ref="J25:J26" si="20">E25/4</f>
        <v>361530.25750000001</v>
      </c>
      <c r="K25" s="34">
        <f t="shared" ref="K25:K26" si="21">E25/4</f>
        <v>361530.25750000001</v>
      </c>
      <c r="L25" s="43">
        <f t="shared" ref="L25:L26" si="22">E25/4</f>
        <v>361530.25750000001</v>
      </c>
      <c r="M25" s="35">
        <f t="shared" ref="M25:M26" si="23">E25/4/2</f>
        <v>180765.12875</v>
      </c>
      <c r="N25">
        <f>I25+J25+K25+L25</f>
        <v>1265355.9012500001</v>
      </c>
      <c r="O25" s="15"/>
      <c r="P25" s="10"/>
    </row>
    <row r="26" spans="1:16" ht="27.6" x14ac:dyDescent="0.3">
      <c r="A26" s="81" t="s">
        <v>62</v>
      </c>
      <c r="B26" s="2" t="s">
        <v>63</v>
      </c>
      <c r="C26" s="60" t="s">
        <v>61</v>
      </c>
      <c r="D26" s="70" t="s">
        <v>32</v>
      </c>
      <c r="E26" s="36">
        <v>910648.12</v>
      </c>
      <c r="F26" s="37">
        <f t="shared" si="16"/>
        <v>774050.902</v>
      </c>
      <c r="G26" s="37">
        <f t="shared" si="15"/>
        <v>136597.21799999999</v>
      </c>
      <c r="H26" s="30">
        <f t="shared" si="2"/>
        <v>747094.97</v>
      </c>
      <c r="I26" s="34">
        <f t="shared" si="19"/>
        <v>113831.015</v>
      </c>
      <c r="J26" s="34">
        <f t="shared" si="20"/>
        <v>227662.03</v>
      </c>
      <c r="K26" s="34">
        <f t="shared" si="21"/>
        <v>227662.03</v>
      </c>
      <c r="L26" s="43">
        <f t="shared" si="22"/>
        <v>227662.03</v>
      </c>
      <c r="M26" s="35">
        <f t="shared" si="23"/>
        <v>113831.015</v>
      </c>
      <c r="N26">
        <f>I26+J26+K26+L26</f>
        <v>796817.10499999998</v>
      </c>
      <c r="O26" s="15"/>
      <c r="P26" s="10"/>
    </row>
    <row r="27" spans="1:16" ht="27.6" x14ac:dyDescent="0.3">
      <c r="A27" s="81" t="s">
        <v>64</v>
      </c>
      <c r="B27" s="2" t="s">
        <v>65</v>
      </c>
      <c r="C27" s="60" t="s">
        <v>61</v>
      </c>
      <c r="D27" s="70" t="s">
        <v>32</v>
      </c>
      <c r="E27" s="36">
        <v>870453.1</v>
      </c>
      <c r="F27" s="37">
        <f t="shared" si="16"/>
        <v>739885.13500000001</v>
      </c>
      <c r="G27" s="37">
        <f t="shared" si="15"/>
        <v>130567.965</v>
      </c>
      <c r="H27" s="30">
        <f t="shared" si="2"/>
        <v>714119.01</v>
      </c>
      <c r="I27" s="34">
        <f>E27/4/2</f>
        <v>108806.6375</v>
      </c>
      <c r="J27" s="34">
        <f>E27/4</f>
        <v>217613.27499999999</v>
      </c>
      <c r="K27" s="34">
        <f>E27/4</f>
        <v>217613.27499999999</v>
      </c>
      <c r="L27" s="43">
        <f>E27/4</f>
        <v>217613.27499999999</v>
      </c>
      <c r="M27" s="35">
        <f>E27/4/2</f>
        <v>108806.6375</v>
      </c>
      <c r="N27">
        <f>I27+J27+K27+L27</f>
        <v>761646.46250000002</v>
      </c>
      <c r="O27" s="15"/>
      <c r="P27" s="10"/>
    </row>
    <row r="28" spans="1:16" ht="27.6" x14ac:dyDescent="0.3">
      <c r="A28" s="81" t="s">
        <v>66</v>
      </c>
      <c r="B28" s="2" t="s">
        <v>67</v>
      </c>
      <c r="C28" s="60" t="s">
        <v>61</v>
      </c>
      <c r="D28" s="70" t="s">
        <v>32</v>
      </c>
      <c r="E28" s="36">
        <v>2023214.4000000001</v>
      </c>
      <c r="F28" s="37">
        <f t="shared" si="16"/>
        <v>1719732.24</v>
      </c>
      <c r="G28" s="37">
        <f t="shared" si="15"/>
        <v>303482.16000000003</v>
      </c>
      <c r="H28" s="30">
        <f t="shared" si="2"/>
        <v>1659843.43</v>
      </c>
      <c r="I28" s="34">
        <f>E28/4/2</f>
        <v>252901.80000000002</v>
      </c>
      <c r="J28" s="34">
        <f>E28/4</f>
        <v>505803.60000000003</v>
      </c>
      <c r="K28" s="34">
        <f>E28/4</f>
        <v>505803.60000000003</v>
      </c>
      <c r="L28" s="43">
        <f>E28/4</f>
        <v>505803.60000000003</v>
      </c>
      <c r="M28" s="35">
        <f>E28/4/2</f>
        <v>252901.80000000002</v>
      </c>
      <c r="N28">
        <f>I28+J28+K28+L28</f>
        <v>1770312.6</v>
      </c>
      <c r="O28" s="15"/>
      <c r="P28" s="10"/>
    </row>
    <row r="29" spans="1:16" ht="63" customHeight="1" x14ac:dyDescent="0.3">
      <c r="A29" s="81" t="s">
        <v>68</v>
      </c>
      <c r="B29" s="2" t="s">
        <v>69</v>
      </c>
      <c r="C29" s="63" t="s">
        <v>70</v>
      </c>
      <c r="D29" s="70" t="s">
        <v>32</v>
      </c>
      <c r="E29" s="36">
        <v>914783.07</v>
      </c>
      <c r="F29" s="37">
        <f t="shared" si="16"/>
        <v>777565.6094999999</v>
      </c>
      <c r="G29" s="37">
        <f t="shared" si="15"/>
        <v>137217.46049999999</v>
      </c>
      <c r="H29" s="30">
        <f t="shared" si="2"/>
        <v>750487.28</v>
      </c>
      <c r="I29" s="34">
        <f>E29/4/2</f>
        <v>114347.88374999999</v>
      </c>
      <c r="J29" s="34">
        <f>E29/4</f>
        <v>228695.76749999999</v>
      </c>
      <c r="K29" s="34">
        <f>E29/4</f>
        <v>228695.76749999999</v>
      </c>
      <c r="L29" s="43">
        <f>E29/4</f>
        <v>228695.76749999999</v>
      </c>
      <c r="M29" s="35">
        <f>E29/4/2</f>
        <v>114347.88374999999</v>
      </c>
      <c r="N29" s="10">
        <f>I29+J29+K29+L29</f>
        <v>800435.18624999991</v>
      </c>
      <c r="O29" s="15"/>
      <c r="P29" s="10"/>
    </row>
    <row r="30" spans="1:16" ht="37.5" customHeight="1" x14ac:dyDescent="0.3">
      <c r="A30" s="81">
        <v>3</v>
      </c>
      <c r="B30" s="3" t="s">
        <v>71</v>
      </c>
      <c r="C30" s="64"/>
      <c r="D30" s="64"/>
      <c r="E30" s="38">
        <f>SUM(E31:E34)</f>
        <v>6564705.0024000006</v>
      </c>
      <c r="F30" s="39">
        <f>E30*0.85</f>
        <v>5579999.2520400006</v>
      </c>
      <c r="G30" s="39">
        <f t="shared" si="15"/>
        <v>984705.75036000006</v>
      </c>
      <c r="H30" s="30">
        <f t="shared" si="2"/>
        <v>5385678.5800000001</v>
      </c>
      <c r="I30" s="39">
        <f>I31+I32+I33+I34</f>
        <v>659195.81274000008</v>
      </c>
      <c r="J30" s="39">
        <f t="shared" ref="J30:M30" si="24">J31+J32+J33+J34</f>
        <v>1318391.6254800002</v>
      </c>
      <c r="K30" s="39">
        <f t="shared" si="24"/>
        <v>1963960.8757199999</v>
      </c>
      <c r="L30" s="39">
        <f t="shared" si="24"/>
        <v>1641176.2506000001</v>
      </c>
      <c r="M30" s="39">
        <f t="shared" si="24"/>
        <v>981980.43785999995</v>
      </c>
      <c r="N30" s="11">
        <v>6564706</v>
      </c>
      <c r="O30" s="15"/>
      <c r="P30" s="10"/>
    </row>
    <row r="31" spans="1:16" ht="27.6" x14ac:dyDescent="0.3">
      <c r="A31" s="81" t="s">
        <v>72</v>
      </c>
      <c r="B31" s="2" t="s">
        <v>73</v>
      </c>
      <c r="C31" s="60">
        <v>4275</v>
      </c>
      <c r="D31" s="73" t="s">
        <v>74</v>
      </c>
      <c r="E31" s="36">
        <f>ROUND(C31*51*0.5,2)</f>
        <v>109012.5</v>
      </c>
      <c r="F31" s="48">
        <f>E31*0.85</f>
        <v>92660.625</v>
      </c>
      <c r="G31" s="48">
        <f>E31*0.15</f>
        <v>16351.875</v>
      </c>
      <c r="H31" s="30">
        <f t="shared" si="2"/>
        <v>89433.77</v>
      </c>
      <c r="I31" s="48">
        <f>E31*0.125</f>
        <v>13626.5625</v>
      </c>
      <c r="J31" s="48">
        <f>E31/48*12</f>
        <v>27253.125</v>
      </c>
      <c r="K31" s="48">
        <f>E31/48*12</f>
        <v>27253.125</v>
      </c>
      <c r="L31" s="49">
        <f>E31/48*12</f>
        <v>27253.125</v>
      </c>
      <c r="M31" s="50">
        <f>E31*0.125</f>
        <v>13626.5625</v>
      </c>
      <c r="O31" s="15"/>
      <c r="P31" s="10"/>
    </row>
    <row r="32" spans="1:16" ht="27.6" x14ac:dyDescent="0.3">
      <c r="A32" s="81" t="s">
        <v>75</v>
      </c>
      <c r="B32" s="2" t="s">
        <v>76</v>
      </c>
      <c r="C32" s="65" t="s">
        <v>61</v>
      </c>
      <c r="D32" s="70" t="s">
        <v>32</v>
      </c>
      <c r="E32" s="36">
        <v>2622140.19</v>
      </c>
      <c r="F32" s="37">
        <f>E32*0.85</f>
        <v>2228819.1614999999</v>
      </c>
      <c r="G32" s="37">
        <f t="shared" si="15"/>
        <v>393321.02849999996</v>
      </c>
      <c r="H32" s="30">
        <f t="shared" si="2"/>
        <v>2151201.65</v>
      </c>
      <c r="I32" s="37">
        <f>E32*0.1</f>
        <v>262214.01900000003</v>
      </c>
      <c r="J32" s="37">
        <f>E32*0.2</f>
        <v>524428.03800000006</v>
      </c>
      <c r="K32" s="37">
        <f>E32*0.3</f>
        <v>786642.05699999991</v>
      </c>
      <c r="L32" s="44">
        <f t="shared" ref="L32" si="25">E32*0.25</f>
        <v>655535.04749999999</v>
      </c>
      <c r="M32" s="45">
        <f>E32*0.15</f>
        <v>393321.02849999996</v>
      </c>
      <c r="O32" s="15"/>
      <c r="P32" s="10"/>
    </row>
    <row r="33" spans="1:26" ht="26.25" customHeight="1" x14ac:dyDescent="0.3">
      <c r="A33" s="81" t="s">
        <v>77</v>
      </c>
      <c r="B33" s="2" t="s">
        <v>78</v>
      </c>
      <c r="C33" s="65" t="s">
        <v>61</v>
      </c>
      <c r="D33" s="70" t="s">
        <v>32</v>
      </c>
      <c r="E33" s="36">
        <v>3404085.63</v>
      </c>
      <c r="F33" s="37">
        <f t="shared" ref="F33:F34" si="26">E33*0.85</f>
        <v>2893472.7854999998</v>
      </c>
      <c r="G33" s="37">
        <f t="shared" ref="G33:G34" si="27">E33*0.15</f>
        <v>510612.84449999995</v>
      </c>
      <c r="H33" s="30">
        <f t="shared" si="2"/>
        <v>2792709.05</v>
      </c>
      <c r="I33" s="37">
        <f t="shared" ref="I33" si="28">E33*0.1</f>
        <v>340408.56300000002</v>
      </c>
      <c r="J33" s="37">
        <f t="shared" ref="J33:J34" si="29">E33*0.2</f>
        <v>680817.12600000005</v>
      </c>
      <c r="K33" s="37">
        <f t="shared" ref="K33:K34" si="30">E33*0.3</f>
        <v>1021225.6889999999</v>
      </c>
      <c r="L33" s="44">
        <f t="shared" ref="L33:L34" si="31">E33*0.25</f>
        <v>851021.40749999997</v>
      </c>
      <c r="M33" s="45">
        <f t="shared" ref="M33:M34" si="32">E33*0.15</f>
        <v>510612.84449999995</v>
      </c>
      <c r="O33" s="15"/>
      <c r="P33" s="10"/>
    </row>
    <row r="34" spans="1:26" ht="60" customHeight="1" x14ac:dyDescent="0.3">
      <c r="A34" s="81" t="s">
        <v>79</v>
      </c>
      <c r="B34" s="2" t="s">
        <v>80</v>
      </c>
      <c r="C34" s="65"/>
      <c r="D34" s="72" t="s">
        <v>58</v>
      </c>
      <c r="E34" s="36">
        <f>(E31+E32+E33)*0.07</f>
        <v>429466.68240000005</v>
      </c>
      <c r="F34" s="37">
        <f t="shared" si="26"/>
        <v>365046.68004000001</v>
      </c>
      <c r="G34" s="37">
        <f t="shared" si="27"/>
        <v>64420.002360000006</v>
      </c>
      <c r="H34" s="30">
        <f t="shared" si="2"/>
        <v>352334.11</v>
      </c>
      <c r="I34" s="37">
        <f>E34*0.1</f>
        <v>42946.668240000006</v>
      </c>
      <c r="J34" s="37">
        <f t="shared" si="29"/>
        <v>85893.336480000013</v>
      </c>
      <c r="K34" s="37">
        <f t="shared" si="30"/>
        <v>128840.00472000001</v>
      </c>
      <c r="L34" s="44">
        <f t="shared" si="31"/>
        <v>107366.67060000001</v>
      </c>
      <c r="M34" s="45">
        <f t="shared" si="32"/>
        <v>64420.002360000006</v>
      </c>
      <c r="O34" s="15"/>
      <c r="P34" s="10"/>
    </row>
    <row r="35" spans="1:26" ht="48.75" customHeight="1" x14ac:dyDescent="0.3">
      <c r="A35" s="81">
        <v>4</v>
      </c>
      <c r="B35" s="3" t="s">
        <v>81</v>
      </c>
      <c r="C35" s="59"/>
      <c r="D35" s="59"/>
      <c r="E35" s="38">
        <f>SUM(E36:E40)</f>
        <v>6531885.1169999996</v>
      </c>
      <c r="F35" s="39">
        <f t="shared" si="16"/>
        <v>5552102.3494499996</v>
      </c>
      <c r="G35" s="39">
        <f t="shared" si="15"/>
        <v>979782.76754999987</v>
      </c>
      <c r="H35" s="30">
        <f t="shared" si="2"/>
        <v>5358753.18</v>
      </c>
      <c r="I35" s="39">
        <f>SUM(I36:I40)</f>
        <v>657322.64412499999</v>
      </c>
      <c r="J35" s="39">
        <f>SUM(J36:J40)</f>
        <v>1951297.2702499998</v>
      </c>
      <c r="K35" s="39">
        <f>SUM(K36:K40)</f>
        <v>1951297.2702499998</v>
      </c>
      <c r="L35" s="40">
        <f>SUM(L36:L40)</f>
        <v>1314645.28825</v>
      </c>
      <c r="M35" s="41">
        <f>SUM(M36:M40)</f>
        <v>657322.64412499999</v>
      </c>
      <c r="N35" t="s">
        <v>82</v>
      </c>
      <c r="O35" s="15"/>
      <c r="P35" s="10"/>
      <c r="Z35" s="10"/>
    </row>
    <row r="36" spans="1:26" ht="33" customHeight="1" x14ac:dyDescent="0.3">
      <c r="A36" s="81" t="s">
        <v>83</v>
      </c>
      <c r="B36" s="7" t="s">
        <v>84</v>
      </c>
      <c r="C36" s="60">
        <v>4275</v>
      </c>
      <c r="D36" s="72" t="s">
        <v>85</v>
      </c>
      <c r="E36" s="36">
        <f>ROUND(C36*0.5*48,2)</f>
        <v>102600</v>
      </c>
      <c r="F36" s="34">
        <f t="shared" ref="F36:F44" si="33">E36*0.85</f>
        <v>87210</v>
      </c>
      <c r="G36" s="34">
        <f>E36*0.15</f>
        <v>15390</v>
      </c>
      <c r="H36" s="30">
        <f t="shared" si="2"/>
        <v>84172.96</v>
      </c>
      <c r="I36" s="51">
        <f>E36*25%/2</f>
        <v>12825</v>
      </c>
      <c r="J36" s="51">
        <f>E36*25%</f>
        <v>25650</v>
      </c>
      <c r="K36" s="51">
        <f>E36*25%</f>
        <v>25650</v>
      </c>
      <c r="L36" s="52">
        <f>E36*25%</f>
        <v>25650</v>
      </c>
      <c r="M36" s="53">
        <f>E36/2*0.25</f>
        <v>12825</v>
      </c>
      <c r="O36" s="15"/>
      <c r="P36" s="10"/>
    </row>
    <row r="37" spans="1:26" ht="118.5" customHeight="1" x14ac:dyDescent="0.3">
      <c r="A37" s="81" t="s">
        <v>86</v>
      </c>
      <c r="B37" s="2" t="s">
        <v>57</v>
      </c>
      <c r="C37" s="60"/>
      <c r="D37" s="72" t="s">
        <v>87</v>
      </c>
      <c r="E37" s="36">
        <f>(E36+E39+E40)*0.07</f>
        <v>62765.297000000006</v>
      </c>
      <c r="F37" s="34">
        <f t="shared" ref="F37" si="34">E37*0.85</f>
        <v>53350.502450000007</v>
      </c>
      <c r="G37" s="34">
        <f>E37*0.15</f>
        <v>9414.7945500000005</v>
      </c>
      <c r="H37" s="30">
        <f t="shared" si="2"/>
        <v>51492.6</v>
      </c>
      <c r="I37" s="51">
        <f>E37*25%/2</f>
        <v>7845.6621250000007</v>
      </c>
      <c r="J37" s="51">
        <f>E37*25%</f>
        <v>15691.324250000001</v>
      </c>
      <c r="K37" s="51">
        <f>E37*25%</f>
        <v>15691.324250000001</v>
      </c>
      <c r="L37" s="52">
        <f>E37*25%</f>
        <v>15691.324250000001</v>
      </c>
      <c r="M37" s="53">
        <f>E37/2*0.25</f>
        <v>7845.6621250000007</v>
      </c>
      <c r="O37" s="15"/>
      <c r="P37" s="10"/>
      <c r="Q37" s="10"/>
    </row>
    <row r="38" spans="1:26" ht="27.6" x14ac:dyDescent="0.3">
      <c r="A38" s="81" t="s">
        <v>88</v>
      </c>
      <c r="B38" s="25" t="s">
        <v>89</v>
      </c>
      <c r="C38" s="60" t="s">
        <v>61</v>
      </c>
      <c r="D38" s="70" t="s">
        <v>32</v>
      </c>
      <c r="E38" s="33">
        <f>5572472.6+0.12</f>
        <v>5572472.7199999997</v>
      </c>
      <c r="F38" s="34">
        <f t="shared" si="33"/>
        <v>4736601.8119999999</v>
      </c>
      <c r="G38" s="34">
        <f t="shared" ref="G38" si="35">E38*0.15</f>
        <v>835870.90799999994</v>
      </c>
      <c r="H38" s="30">
        <f t="shared" si="2"/>
        <v>4571652.03</v>
      </c>
      <c r="I38" s="34">
        <f>E38*20%/2</f>
        <v>557247.272</v>
      </c>
      <c r="J38" s="34">
        <f>E38*30%</f>
        <v>1671741.8159999999</v>
      </c>
      <c r="K38" s="34">
        <f>E38*30%</f>
        <v>1671741.8159999999</v>
      </c>
      <c r="L38" s="43">
        <f>E38*20%</f>
        <v>1114494.544</v>
      </c>
      <c r="M38" s="35">
        <f>E38*0.2/2</f>
        <v>557247.272</v>
      </c>
      <c r="O38" s="15"/>
      <c r="P38" s="10"/>
    </row>
    <row r="39" spans="1:26" ht="35.25" customHeight="1" x14ac:dyDescent="0.3">
      <c r="A39" s="81" t="s">
        <v>90</v>
      </c>
      <c r="B39" s="25" t="s">
        <v>91</v>
      </c>
      <c r="C39" s="60">
        <v>4275</v>
      </c>
      <c r="D39" s="70" t="s">
        <v>92</v>
      </c>
      <c r="E39" s="33">
        <f>C39*0.7*51</f>
        <v>152617.5</v>
      </c>
      <c r="F39" s="34">
        <f t="shared" ref="F39" si="36">E39*0.85</f>
        <v>129724.875</v>
      </c>
      <c r="G39" s="34">
        <f t="shared" ref="G39" si="37">E39*0.15</f>
        <v>22892.625</v>
      </c>
      <c r="H39" s="30">
        <f t="shared" si="2"/>
        <v>125207.27</v>
      </c>
      <c r="I39" s="34">
        <f>E39*20%/2</f>
        <v>15261.75</v>
      </c>
      <c r="J39" s="34">
        <f>E39*30%</f>
        <v>45785.25</v>
      </c>
      <c r="K39" s="34">
        <f>E39*30%</f>
        <v>45785.25</v>
      </c>
      <c r="L39" s="43">
        <f>E39*20%</f>
        <v>30523.5</v>
      </c>
      <c r="M39" s="35">
        <f>E39*0.2/2</f>
        <v>15261.75</v>
      </c>
      <c r="O39" s="15"/>
      <c r="P39" s="10"/>
    </row>
    <row r="40" spans="1:26" ht="41.4" x14ac:dyDescent="0.3">
      <c r="A40" s="81" t="s">
        <v>93</v>
      </c>
      <c r="B40" s="26" t="s">
        <v>94</v>
      </c>
      <c r="C40" s="60" t="s">
        <v>61</v>
      </c>
      <c r="D40" s="70" t="s">
        <v>32</v>
      </c>
      <c r="E40" s="33">
        <f>641429.6</f>
        <v>641429.6</v>
      </c>
      <c r="F40" s="34">
        <f t="shared" si="33"/>
        <v>545215.15999999992</v>
      </c>
      <c r="G40" s="34">
        <f>E40*0.15</f>
        <v>96214.439999999988</v>
      </c>
      <c r="H40" s="30">
        <f t="shared" si="2"/>
        <v>526228.31999999995</v>
      </c>
      <c r="I40" s="34">
        <f>E40*20%/2</f>
        <v>64142.96</v>
      </c>
      <c r="J40" s="34">
        <f>E40*30%</f>
        <v>192428.87999999998</v>
      </c>
      <c r="K40" s="34">
        <f>E40*30%</f>
        <v>192428.87999999998</v>
      </c>
      <c r="L40" s="43">
        <f>E40*20%</f>
        <v>128285.92</v>
      </c>
      <c r="M40" s="35">
        <f>E40*0.2/2</f>
        <v>64142.96</v>
      </c>
      <c r="N40" t="s">
        <v>95</v>
      </c>
      <c r="O40" s="15"/>
      <c r="P40" s="10"/>
    </row>
    <row r="41" spans="1:26" ht="49.35" customHeight="1" x14ac:dyDescent="0.3">
      <c r="A41" s="81">
        <v>5</v>
      </c>
      <c r="B41" s="3" t="s">
        <v>96</v>
      </c>
      <c r="C41" s="64"/>
      <c r="D41" s="64"/>
      <c r="E41" s="38">
        <f>SUM(E42:E44)</f>
        <v>1216022.7929999998</v>
      </c>
      <c r="F41" s="39">
        <f t="shared" si="33"/>
        <v>1033619.3740499999</v>
      </c>
      <c r="G41" s="39">
        <f t="shared" ref="G41" si="38">E41*0.15</f>
        <v>182403.41894999996</v>
      </c>
      <c r="H41" s="30">
        <f t="shared" si="2"/>
        <v>997624.1</v>
      </c>
      <c r="I41" s="39">
        <f>SUM(I42:I44)</f>
        <v>121602.27929999999</v>
      </c>
      <c r="J41" s="39">
        <f t="shared" ref="J41:M41" si="39">SUM(J42:J44)</f>
        <v>304005.69824999996</v>
      </c>
      <c r="K41" s="39">
        <f t="shared" si="39"/>
        <v>304005.69824999996</v>
      </c>
      <c r="L41" s="39">
        <f>SUM(L42:L44)</f>
        <v>304005.69824999996</v>
      </c>
      <c r="M41" s="41">
        <f t="shared" si="39"/>
        <v>182403.41894999999</v>
      </c>
      <c r="N41" s="21" t="s">
        <v>97</v>
      </c>
      <c r="O41" s="15"/>
      <c r="P41" s="75"/>
    </row>
    <row r="42" spans="1:26" ht="64.349999999999994" customHeight="1" x14ac:dyDescent="0.3">
      <c r="A42" s="81" t="s">
        <v>98</v>
      </c>
      <c r="B42" s="12" t="s">
        <v>99</v>
      </c>
      <c r="C42" s="65">
        <v>4793.91</v>
      </c>
      <c r="D42" s="63" t="s">
        <v>100</v>
      </c>
      <c r="E42" s="36">
        <f>ROUND(C42*0.2*46,2)</f>
        <v>44103.97</v>
      </c>
      <c r="F42" s="37">
        <f t="shared" si="33"/>
        <v>37488.374499999998</v>
      </c>
      <c r="G42" s="37">
        <f>E42*0.15</f>
        <v>6615.5955000000004</v>
      </c>
      <c r="H42" s="30">
        <f t="shared" si="2"/>
        <v>36182.86</v>
      </c>
      <c r="I42" s="37">
        <f>E42*0.1</f>
        <v>4410.3969999999999</v>
      </c>
      <c r="J42" s="37">
        <f>E42*0.25</f>
        <v>11025.9925</v>
      </c>
      <c r="K42" s="37">
        <f>E42*0.25</f>
        <v>11025.9925</v>
      </c>
      <c r="L42" s="44">
        <f>E42*0.25</f>
        <v>11025.9925</v>
      </c>
      <c r="M42" s="45">
        <f>E42*0.15</f>
        <v>6615.5955000000004</v>
      </c>
      <c r="N42" s="16"/>
      <c r="O42" s="15"/>
      <c r="P42" s="10"/>
    </row>
    <row r="43" spans="1:26" ht="49.5" customHeight="1" x14ac:dyDescent="0.3">
      <c r="A43" s="81" t="s">
        <v>101</v>
      </c>
      <c r="B43" s="12" t="s">
        <v>57</v>
      </c>
      <c r="C43" s="66"/>
      <c r="D43" s="74" t="s">
        <v>58</v>
      </c>
      <c r="E43" s="36">
        <f>(E42+E44)*0.07</f>
        <v>79552.892999999996</v>
      </c>
      <c r="F43" s="37">
        <f t="shared" si="33"/>
        <v>67619.95904999999</v>
      </c>
      <c r="G43" s="37">
        <f>E43*0.15</f>
        <v>11932.933949999999</v>
      </c>
      <c r="H43" s="30">
        <f t="shared" si="2"/>
        <v>65265.13</v>
      </c>
      <c r="I43" s="37">
        <f>E43*0.1</f>
        <v>7955.2893000000004</v>
      </c>
      <c r="J43" s="37">
        <f>E43*0.25</f>
        <v>19888.223249999999</v>
      </c>
      <c r="K43" s="37">
        <f>E43*0.25</f>
        <v>19888.223249999999</v>
      </c>
      <c r="L43" s="44">
        <f>E43*0.25</f>
        <v>19888.223249999999</v>
      </c>
      <c r="M43" s="45">
        <f>E43*0.15</f>
        <v>11932.933949999999</v>
      </c>
      <c r="N43" s="16"/>
      <c r="O43" s="15"/>
      <c r="P43" s="10"/>
    </row>
    <row r="44" spans="1:26" ht="41.4" x14ac:dyDescent="0.3">
      <c r="A44" s="81" t="s">
        <v>102</v>
      </c>
      <c r="B44" s="8" t="s">
        <v>103</v>
      </c>
      <c r="C44" s="60" t="s">
        <v>61</v>
      </c>
      <c r="D44" s="70" t="s">
        <v>32</v>
      </c>
      <c r="E44" s="36">
        <v>1092365.93</v>
      </c>
      <c r="F44" s="37">
        <f t="shared" si="33"/>
        <v>928511.04049999989</v>
      </c>
      <c r="G44" s="37">
        <f>E44*0.15</f>
        <v>163854.88949999999</v>
      </c>
      <c r="H44" s="30">
        <f t="shared" si="2"/>
        <v>896176.11</v>
      </c>
      <c r="I44" s="37">
        <f>E44*0.1</f>
        <v>109236.59299999999</v>
      </c>
      <c r="J44" s="37">
        <f>E44*0.25</f>
        <v>273091.48249999998</v>
      </c>
      <c r="K44" s="37">
        <f>E44*0.25</f>
        <v>273091.48249999998</v>
      </c>
      <c r="L44" s="44">
        <f>E44*0.25</f>
        <v>273091.48249999998</v>
      </c>
      <c r="M44" s="45">
        <f>E44*0.15</f>
        <v>163854.88949999999</v>
      </c>
      <c r="N44" s="16"/>
      <c r="O44" s="15"/>
      <c r="P44" s="10"/>
      <c r="Q44" s="10"/>
    </row>
    <row r="45" spans="1:26" ht="25.5" customHeight="1" x14ac:dyDescent="0.3">
      <c r="A45" s="78">
        <v>6</v>
      </c>
      <c r="B45" s="9" t="s">
        <v>104</v>
      </c>
      <c r="C45" s="9"/>
      <c r="D45" s="9"/>
      <c r="E45" s="54">
        <f>SUM(E41+E35+E30+E22+E5)</f>
        <v>22671890.1149</v>
      </c>
      <c r="F45" s="54">
        <f>E45*0.85</f>
        <v>19271106.597665001</v>
      </c>
      <c r="G45" s="54">
        <f>E45*0.15</f>
        <v>3400783.5172350002</v>
      </c>
      <c r="H45" s="30">
        <f t="shared" si="2"/>
        <v>18600000</v>
      </c>
      <c r="I45" s="55">
        <f>SUM(I5+I22+I30+I35+I41)</f>
        <v>2312621.6581650004</v>
      </c>
      <c r="J45" s="54">
        <f>SUM(J5+J22+J30+J35+J41)</f>
        <v>6685966.2644800013</v>
      </c>
      <c r="K45" s="54">
        <f>SUM(K5+K22+K30+K35+K41)</f>
        <v>5968265.6882199999</v>
      </c>
      <c r="L45" s="56">
        <f>SUM(L5+L22+L30+L35+L41)</f>
        <v>5008829.081100001</v>
      </c>
      <c r="M45" s="57">
        <f>SUM(M5+M22+M30+M35+M41)</f>
        <v>2696207.4229349997</v>
      </c>
      <c r="O45" s="15"/>
      <c r="P45" s="10"/>
    </row>
    <row r="46" spans="1:26" x14ac:dyDescent="0.3">
      <c r="H46" s="29"/>
      <c r="I46" s="27"/>
      <c r="O46" s="17"/>
    </row>
    <row r="47" spans="1:26" x14ac:dyDescent="0.3">
      <c r="B47" s="9" t="s">
        <v>105</v>
      </c>
      <c r="C47" t="s">
        <v>106</v>
      </c>
      <c r="D47">
        <v>51</v>
      </c>
      <c r="E47" s="10"/>
      <c r="H47" s="10"/>
    </row>
    <row r="48" spans="1:26" x14ac:dyDescent="0.3">
      <c r="B48" s="9" t="s">
        <v>107</v>
      </c>
      <c r="C48" t="s">
        <v>108</v>
      </c>
      <c r="D48">
        <v>5</v>
      </c>
      <c r="F48" s="10"/>
    </row>
    <row r="49" spans="2:13" x14ac:dyDescent="0.3">
      <c r="B49" s="23" t="s">
        <v>15</v>
      </c>
      <c r="C49" t="s">
        <v>109</v>
      </c>
      <c r="D49" s="28">
        <v>1.036081</v>
      </c>
      <c r="E49" s="24"/>
      <c r="H49" s="22"/>
    </row>
    <row r="50" spans="2:13" x14ac:dyDescent="0.3">
      <c r="E50" s="24"/>
      <c r="H50" s="22"/>
    </row>
    <row r="52" spans="2:13" ht="265.35000000000002" customHeight="1" x14ac:dyDescent="0.3">
      <c r="B52" s="82" t="s">
        <v>110</v>
      </c>
      <c r="C52" s="83"/>
      <c r="D52" s="83"/>
      <c r="E52" s="83"/>
      <c r="F52" s="83"/>
      <c r="G52" s="83"/>
      <c r="H52" s="83"/>
      <c r="I52" s="83"/>
      <c r="J52" s="83"/>
      <c r="K52" s="83"/>
      <c r="L52" s="83"/>
      <c r="M52" s="83"/>
    </row>
    <row r="53" spans="2:13" ht="46.35" customHeight="1" x14ac:dyDescent="0.3">
      <c r="B53" s="82" t="s">
        <v>111</v>
      </c>
      <c r="C53" s="83"/>
      <c r="D53" s="83"/>
      <c r="E53" s="83"/>
      <c r="F53" s="83"/>
      <c r="G53" s="83"/>
      <c r="H53" s="83"/>
      <c r="I53" s="83"/>
      <c r="J53" s="83"/>
      <c r="K53" s="83"/>
      <c r="L53" s="83"/>
      <c r="M53" s="83"/>
    </row>
  </sheetData>
  <mergeCells count="2">
    <mergeCell ref="B52:M52"/>
    <mergeCell ref="B53:M53"/>
  </mergeCells>
  <dataValidations disablePrompts="1" count="1">
    <dataValidation type="list" allowBlank="1" showInputMessage="1" showErrorMessage="1" sqref="C2:G2 I2:M2" xr:uid="{79EDBDD7-A50A-43B1-AC42-EA5518F4F25F}">
      <formula1>"EUR, BGN, CZK, HUF,PLN,RON"</formula1>
    </dataValidation>
  </dataValidations>
  <pageMargins left="0.7" right="0.7" top="0.75" bottom="0.75" header="0.3" footer="0.3"/>
  <pageSetup paperSize="8" scale="55" orientation="portrait" r:id="rId1"/>
  <rowBreaks count="3" manualBreakCount="3">
    <brk id="21" max="16383" man="1"/>
    <brk id="34" max="16383" man="1"/>
    <brk id="4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0c972be-a4eb-46c9-a87c-bd070bddad65" xsi:nil="true"/>
    <lcf76f155ced4ddcb4097134ff3c332f xmlns="697030db-1f16-4ace-95f3-ffdfe239993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0443C015BBC5429B4325BFAAA51234" ma:contentTypeVersion="12" ma:contentTypeDescription="Create a new document." ma:contentTypeScope="" ma:versionID="6215ef5d4bacece109049eed17997418">
  <xsd:schema xmlns:xsd="http://www.w3.org/2001/XMLSchema" xmlns:xs="http://www.w3.org/2001/XMLSchema" xmlns:p="http://schemas.microsoft.com/office/2006/metadata/properties" xmlns:ns2="697030db-1f16-4ace-95f3-ffdfe239993f" xmlns:ns3="80c972be-a4eb-46c9-a87c-bd070bddad65" targetNamespace="http://schemas.microsoft.com/office/2006/metadata/properties" ma:root="true" ma:fieldsID="17708691fa56605167a74ec8b329096d" ns2:_="" ns3:_="">
    <xsd:import namespace="697030db-1f16-4ace-95f3-ffdfe239993f"/>
    <xsd:import namespace="80c972be-a4eb-46c9-a87c-bd070bddad6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7030db-1f16-4ace-95f3-ffdfe23999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8776a30-dc0b-49a2-aa1e-c2fe56b337b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c972be-a4eb-46c9-a87c-bd070bddad6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61b6b4c-f15c-482d-8c24-fb201473acaf}" ma:internalName="TaxCatchAll" ma:showField="CatchAllData" ma:web="80c972be-a4eb-46c9-a87c-bd070bddad6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C80C7A-7363-4D0B-80DF-4907781A786B}">
  <ds:schemaRefs>
    <ds:schemaRef ds:uri="http://schemas.microsoft.com/office/2006/metadata/properties"/>
    <ds:schemaRef ds:uri="http://schemas.microsoft.com/office/infopath/2007/PartnerControls"/>
    <ds:schemaRef ds:uri="80c972be-a4eb-46c9-a87c-bd070bddad65"/>
    <ds:schemaRef ds:uri="697030db-1f16-4ace-95f3-ffdfe239993f"/>
  </ds:schemaRefs>
</ds:datastoreItem>
</file>

<file path=customXml/itemProps2.xml><?xml version="1.0" encoding="utf-8"?>
<ds:datastoreItem xmlns:ds="http://schemas.openxmlformats.org/officeDocument/2006/customXml" ds:itemID="{F7CF610A-06D2-4D2E-8960-6449B116234B}">
  <ds:schemaRefs>
    <ds:schemaRef ds:uri="http://schemas.microsoft.com/sharepoint/v3/contenttype/forms"/>
  </ds:schemaRefs>
</ds:datastoreItem>
</file>

<file path=customXml/itemProps3.xml><?xml version="1.0" encoding="utf-8"?>
<ds:datastoreItem xmlns:ds="http://schemas.openxmlformats.org/officeDocument/2006/customXml" ds:itemID="{3A5D2A5D-7C05-4CA7-9323-D888FF3334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7030db-1f16-4ace-95f3-ffdfe239993f"/>
    <ds:schemaRef ds:uri="80c972be-a4eb-46c9-a87c-bd070bddad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Final Budget</vt:lpstr>
      <vt:lpstr>'Final Budget'!Prindiala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Kärt Kallion</dc:creator>
  <cp:keywords/>
  <dc:description/>
  <cp:lastModifiedBy>Olga Gnezdovski</cp:lastModifiedBy>
  <cp:revision/>
  <cp:lastPrinted>2024-05-02T14:07:47Z</cp:lastPrinted>
  <dcterms:created xsi:type="dcterms:W3CDTF">2023-11-27T19:52:37Z</dcterms:created>
  <dcterms:modified xsi:type="dcterms:W3CDTF">2024-05-15T13:50:22Z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0x010100EF0443C015BBC5429B4325BFAAA51234</vt:lpwstr>
  </property>
  <property fmtid="{D5CDD505-2E9C-101B-9397-08002B2CF9AE}" pid="3" name="MediaServiceImageTags">
    <vt:lpwstr/>
  </property>
</Properties>
</file>